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048" activeTab="0"/>
  </bookViews>
  <sheets>
    <sheet name="Итоги за 9 месяцев 2018 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DenisenkoLV</author>
    <author>new</author>
  </authors>
  <commentList>
    <comment ref="N37" authorId="0">
      <text>
        <r>
          <rPr>
            <b/>
            <sz val="9"/>
            <rFont val="Tahoma"/>
            <family val="2"/>
          </rPr>
          <t>DenisenkoLV:</t>
        </r>
        <r>
          <rPr>
            <sz val="9"/>
            <rFont val="Tahoma"/>
            <family val="2"/>
          </rPr>
          <t xml:space="preserve">
по данным предприятий</t>
        </r>
      </text>
    </comment>
    <comment ref="T77" authorId="1">
      <text>
        <r>
          <rPr>
            <b/>
            <sz val="9"/>
            <rFont val="Tahoma"/>
            <family val="2"/>
          </rPr>
          <t>new:</t>
        </r>
        <r>
          <rPr>
            <sz val="9"/>
            <rFont val="Tahoma"/>
            <family val="2"/>
          </rPr>
          <t xml:space="preserve">
по бюджету</t>
        </r>
      </text>
    </comment>
  </commentList>
</comments>
</file>

<file path=xl/sharedStrings.xml><?xml version="1.0" encoding="utf-8"?>
<sst xmlns="http://schemas.openxmlformats.org/spreadsheetml/2006/main" count="496" uniqueCount="274">
  <si>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</si>
  <si>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</si>
  <si>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</si>
  <si>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</si>
  <si>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</si>
  <si>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</si>
  <si>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</si>
  <si>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</si>
  <si>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</si>
  <si>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</si>
  <si>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</si>
  <si>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</si>
  <si>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</si>
  <si>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</si>
  <si>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</si>
  <si>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</si>
  <si>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</si>
  <si>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</si>
  <si>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</si>
  <si>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</si>
  <si>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</si>
  <si>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</si>
  <si>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</si>
  <si>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</si>
  <si>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</si>
  <si>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</si>
  <si>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</si>
  <si>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</si>
  <si>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</si>
  <si>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</si>
  <si>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</si>
  <si>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</si>
  <si>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</si>
  <si>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</si>
  <si>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</si>
  <si>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</si>
  <si>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</si>
  <si>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</si>
  <si>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</si>
  <si>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</si>
  <si>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</si>
  <si>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</si>
  <si>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</si>
  <si>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</si>
  <si>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</si>
  <si>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Прибыль прибыльных предприятий</t>
  </si>
  <si>
    <t>Кредиторская задолженность</t>
  </si>
  <si>
    <t>Дебиторская задолженность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</si>
  <si>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</si>
  <si>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</si>
  <si>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</si>
  <si>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</si>
  <si>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</si>
  <si>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</si>
  <si>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</si>
  <si>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</si>
  <si>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</si>
  <si>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</si>
  <si>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</si>
  <si>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</si>
  <si>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</si>
  <si>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</si>
  <si>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</si>
  <si>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</si>
  <si>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</si>
  <si>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</si>
  <si>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</si>
  <si>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</si>
  <si>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</si>
  <si>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</si>
  <si>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</si>
  <si>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</si>
  <si>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</si>
  <si>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</si>
  <si>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</si>
  <si>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</si>
  <si>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</si>
  <si>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</si>
  <si>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</si>
  <si>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</si>
  <si>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</si>
  <si>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</si>
  <si>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</si>
  <si>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</si>
  <si>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</si>
  <si>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</si>
  <si>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</si>
  <si>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</si>
  <si>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</si>
  <si>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</si>
  <si>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</si>
  <si>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</si>
  <si>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</si>
  <si>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</si>
  <si>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</si>
  <si>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</si>
  <si>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</si>
  <si>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</si>
  <si>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</si>
  <si>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</si>
  <si>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</si>
  <si>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</si>
  <si>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</si>
  <si>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</si>
  <si>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</si>
  <si>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</si>
  <si>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</si>
  <si>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</si>
  <si>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</si>
  <si>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</si>
  <si>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</si>
  <si>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</si>
  <si>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</si>
  <si>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</si>
  <si>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</si>
  <si>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</si>
  <si>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</si>
  <si>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</si>
  <si>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</si>
  <si>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</si>
  <si>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</si>
  <si>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</si>
  <si>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</si>
  <si>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</si>
  <si>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</si>
  <si>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</si>
  <si>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</si>
  <si>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</si>
  <si>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</si>
  <si>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</si>
  <si>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</si>
  <si>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</si>
  <si>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</si>
  <si>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</si>
  <si>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</si>
  <si>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</si>
  <si>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</si>
  <si>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</si>
  <si>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</si>
  <si>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</si>
  <si>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</si>
  <si>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</si>
  <si>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</si>
  <si>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</si>
  <si>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</si>
  <si>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</si>
  <si>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</si>
  <si>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</si>
  <si>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</si>
  <si>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</si>
  <si>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</si>
  <si>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11.</t>
  </si>
  <si>
    <t>11.1</t>
  </si>
  <si>
    <t>11.2</t>
  </si>
  <si>
    <t>11.3</t>
  </si>
  <si>
    <t>11.4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</si>
  <si>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</si>
  <si>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</si>
  <si>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</si>
  <si>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</si>
  <si>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</si>
  <si>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</si>
  <si>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</si>
  <si>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</si>
  <si>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</si>
  <si>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</si>
  <si>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</si>
  <si>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</si>
  <si>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</si>
  <si>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</si>
  <si>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</si>
  <si>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</si>
  <si>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</si>
  <si>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</si>
  <si>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</si>
  <si>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</si>
  <si>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</si>
  <si>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</si>
  <si>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</si>
  <si>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</si>
  <si>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</si>
  <si>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</si>
  <si>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</si>
  <si>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</si>
  <si>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</si>
  <si>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</si>
  <si>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</si>
  <si>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</si>
  <si>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</si>
  <si>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</si>
  <si>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</si>
  <si>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</si>
  <si>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</si>
  <si>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</si>
  <si>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</si>
  <si>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</si>
  <si>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</si>
  <si>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</si>
  <si>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</si>
  <si>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</si>
  <si>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</si>
  <si>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</si>
  <si>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</si>
  <si>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</si>
  <si>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</si>
  <si>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</si>
  <si>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</si>
  <si>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</si>
  <si>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</si>
  <si>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</si>
  <si>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</si>
  <si>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</si>
  <si>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</si>
  <si>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</si>
  <si>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</si>
  <si>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</si>
  <si>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</si>
  <si>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</si>
  <si>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</si>
  <si>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</si>
  <si>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</si>
  <si>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</si>
  <si>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</si>
  <si>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r>
      <t xml:space="preserve">  </t>
    </r>
    <r>
      <rPr>
        <vertAlign val="superscript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</si>
  <si>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r>
      <t xml:space="preserve">    3 </t>
    </r>
    <r>
      <rPr>
        <sz val="14"/>
        <rFont val="Times New Roman Cyr"/>
        <family val="0"/>
      </rPr>
      <t>- для муниципальных районов</t>
    </r>
  </si>
  <si>
    <t>тыс.усл.кв.м</t>
  </si>
  <si>
    <t>тыс.пл.куб.м</t>
  </si>
  <si>
    <t>усл.куб.м</t>
  </si>
  <si>
    <t>4.15</t>
  </si>
  <si>
    <t>Численность населения (среднегодовая)</t>
  </si>
  <si>
    <t xml:space="preserve">Добыча газа природного и попутного     </t>
  </si>
  <si>
    <t>Оборот розничной торговли на 1 жителя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</si>
  <si>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</si>
  <si>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</si>
  <si>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r>
      <t>Естествен</t>
    </r>
    <r>
      <rPr>
        <sz val="18"/>
        <rFont val="Times New Roman Cyr"/>
        <family val="0"/>
      </rPr>
      <t>ный прирост (убыль)</t>
    </r>
    <r>
      <rPr>
        <sz val="18"/>
        <rFont val="Times New Roman Cyr"/>
        <family val="1"/>
      </rPr>
      <t xml:space="preserve"> населения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</si>
  <si>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8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</si>
  <si>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8"/>
        <rFont val="Times New Roman Cyr"/>
        <family val="0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</si>
  <si>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8"/>
        <rFont val="Times New Roman Cyr"/>
        <family val="0"/>
      </rPr>
      <t>2</t>
    </r>
  </si>
  <si>
    <r>
      <t xml:space="preserve">Ввод </t>
    </r>
    <r>
      <rPr>
        <b/>
        <sz val="18"/>
        <rFont val="Times New Roman Cyr"/>
        <family val="0"/>
      </rPr>
      <t>в действие жилых домов</t>
    </r>
    <r>
      <rPr>
        <b/>
        <sz val="18"/>
        <rFont val="Times New Roman Cyr"/>
        <family val="1"/>
      </rPr>
      <t xml:space="preserve"> и объектов соцкультбыта:</t>
    </r>
  </si>
  <si>
    <t xml:space="preserve">% к предыдущему году </t>
  </si>
  <si>
    <t xml:space="preserve"> 2014 год</t>
  </si>
  <si>
    <t>x</t>
  </si>
  <si>
    <t>Х</t>
  </si>
  <si>
    <t>Количество населенных пунктов не имеющих централизованного газоснабжения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</si>
  <si>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 общей площади жилых помещений</t>
  </si>
  <si>
    <t>Реальные располагаемые денежные доходы населения</t>
  </si>
  <si>
    <r>
      <t xml:space="preserve">   2 </t>
    </r>
    <r>
      <rPr>
        <sz val="14"/>
        <rFont val="Times New Roman Cyr"/>
        <family val="0"/>
      </rPr>
      <t>- по состоянию на 01.01.2015</t>
    </r>
  </si>
  <si>
    <r>
      <t>Темп роста 2014 года к   2013 году</t>
    </r>
    <r>
      <rPr>
        <vertAlign val="superscript"/>
        <sz val="18"/>
        <rFont val="Times New Roman Cyr"/>
        <family val="1"/>
      </rPr>
      <t>1</t>
    </r>
    <r>
      <rPr>
        <sz val="18"/>
        <rFont val="Times New Roman Cyr"/>
        <family val="1"/>
      </rPr>
      <t>, %</t>
    </r>
    <r>
      <rPr>
        <vertAlign val="superscript"/>
        <sz val="18"/>
        <rFont val="Times New Roman Cyr"/>
        <family val="1"/>
      </rPr>
      <t xml:space="preserve"> </t>
    </r>
  </si>
  <si>
    <t xml:space="preserve"> 2015 год</t>
  </si>
  <si>
    <r>
      <t>Темп роста 2015 года к 2014 году, %</t>
    </r>
    <r>
      <rPr>
        <vertAlign val="superscript"/>
        <sz val="18"/>
        <rFont val="Times New Roman Cyr"/>
        <family val="0"/>
      </rPr>
      <t>1</t>
    </r>
  </si>
  <si>
    <t>Заготовка древесины</t>
  </si>
  <si>
    <t>2016 год</t>
  </si>
  <si>
    <r>
      <t>Темп роста  2016 года к 2015 году, %</t>
    </r>
    <r>
      <rPr>
        <vertAlign val="superscript"/>
        <sz val="18"/>
        <rFont val="Times New Roman Cyr"/>
        <family val="0"/>
      </rPr>
      <t>1</t>
    </r>
  </si>
  <si>
    <r>
      <t>Темп роста  2017 года к 2016 году, %</t>
    </r>
    <r>
      <rPr>
        <vertAlign val="superscript"/>
        <sz val="18"/>
        <rFont val="Times New Roman Cyr"/>
        <family val="0"/>
      </rPr>
      <t>1</t>
    </r>
  </si>
  <si>
    <t>социально-экономического развития МО Октябрьский район за январь-сентябрь 2018 года</t>
  </si>
  <si>
    <t xml:space="preserve">к письму </t>
  </si>
  <si>
    <t xml:space="preserve">  январь-март    2009 года</t>
  </si>
  <si>
    <r>
      <t xml:space="preserve">Темп роста 
января-марта    2009 года 
к январю- марту    2008 года, % </t>
    </r>
    <r>
      <rPr>
        <vertAlign val="superscript"/>
        <sz val="18"/>
        <rFont val="Times New Roman Cyr"/>
        <family val="1"/>
      </rPr>
      <t>1</t>
    </r>
  </si>
  <si>
    <t>январь-сентябрь 2014 года</t>
  </si>
  <si>
    <r>
      <t>Темп роста  января-сентября 2014 года к январю-сентябрю 2013 году, %</t>
    </r>
    <r>
      <rPr>
        <vertAlign val="superscript"/>
        <sz val="18"/>
        <rFont val="Times New Roman Cyr"/>
        <family val="0"/>
      </rPr>
      <t>1</t>
    </r>
  </si>
  <si>
    <t>январь-сентябрь 2015 года</t>
  </si>
  <si>
    <r>
      <t>Темп роста  января-сентября 2015 года к январю-сентябрю 2014 года, %</t>
    </r>
    <r>
      <rPr>
        <vertAlign val="superscript"/>
        <sz val="18"/>
        <rFont val="Times New Roman Cyr"/>
        <family val="0"/>
      </rPr>
      <t>1</t>
    </r>
  </si>
  <si>
    <t>январь-сентябрь 2016 года</t>
  </si>
  <si>
    <r>
      <t>Темп роста  января-сентября 2016 года к январю-сентябрю 2015 года, %</t>
    </r>
    <r>
      <rPr>
        <vertAlign val="superscript"/>
        <sz val="18"/>
        <rFont val="Times New Roman Cyr"/>
        <family val="0"/>
      </rPr>
      <t>1</t>
    </r>
  </si>
  <si>
    <t>январь-сентябрь 2017 года</t>
  </si>
  <si>
    <t>X</t>
  </si>
  <si>
    <t>14.2.2</t>
  </si>
  <si>
    <t xml:space="preserve">2017 год </t>
  </si>
  <si>
    <t>январь-сентябрь 2018 года</t>
  </si>
  <si>
    <r>
      <t>Темп роста  января-сентября 2018 года к январю-сентябрю 2017 года, %</t>
    </r>
    <r>
      <rPr>
        <vertAlign val="superscript"/>
        <sz val="18"/>
        <rFont val="Times New Roman Cyr"/>
        <family val="0"/>
      </rPr>
      <t>1</t>
    </r>
  </si>
  <si>
    <r>
      <t>Темп роста  января-сентября 2017 года к январю-сентябрю 2016 года, %</t>
    </r>
    <r>
      <rPr>
        <vertAlign val="superscript"/>
        <sz val="18"/>
        <rFont val="Times New Roman Cyr"/>
        <family val="0"/>
      </rPr>
      <t>1</t>
    </r>
  </si>
  <si>
    <t xml:space="preserve">Оценка 2018 года </t>
  </si>
  <si>
    <r>
      <t>Темп роста  2018 года к 2017 году, %</t>
    </r>
    <r>
      <rPr>
        <vertAlign val="superscript"/>
        <sz val="18"/>
        <rFont val="Times New Roman Cyr"/>
        <family val="0"/>
      </rPr>
      <t>1</t>
    </r>
  </si>
  <si>
    <t xml:space="preserve">                     Приложение № 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</si>
</sst>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#,##0.0"/>
    <numFmt numFmtId="179" formatCode="0.000"/>
    <numFmt numFmtId="180" formatCode="0.000000"/>
    <numFmt numFmtId="181" formatCode="0.00000"/>
    <numFmt numFmtId="182" formatCode="0.0000"/>
    <numFmt numFmtId="183" formatCode="0.0000000"/>
    <numFmt numFmtId="184" formatCode="#,##0.000"/>
    <numFmt numFmtId="185" formatCode="0.00000000"/>
    <numFmt numFmtId="186" formatCode="0.000000000"/>
    <numFmt numFmtId="187" formatCode="#,##0.0000"/>
    <numFmt numFmtId="188" formatCode="_-* #,##0.000_р_._-;\-* #,##0.000_р_._-;_-* &quot;-&quot;??_р_._-;_-@_-"/>
  </numFmts>
  <fonts count="63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sz val="16"/>
      <name val="Times New Roman Cyr"/>
      <family val="1"/>
    </font>
    <font>
      <sz val="14"/>
      <name val="Times New Roman"/>
      <family val="1"/>
    </font>
    <font>
      <vertAlign val="superscript"/>
      <sz val="14"/>
      <name val="Times New Roman Cyr"/>
      <family val="1"/>
    </font>
    <font>
      <vertAlign val="superscript"/>
      <sz val="14"/>
      <name val="Times New Roman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sz val="18"/>
      <name val="Arial Cyr"/>
      <family val="0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20"/>
      <name val="Times New Roman Cyr"/>
      <family val="1"/>
    </font>
    <font>
      <sz val="20"/>
      <color indexed="8"/>
      <name val="Times New Roman Cyr"/>
      <family val="0"/>
    </font>
    <font>
      <sz val="20"/>
      <name val="Times New Roman"/>
      <family val="1"/>
    </font>
    <font>
      <sz val="18"/>
      <color indexed="8"/>
      <name val="Times New Roman Cyr"/>
      <family val="1"/>
    </font>
    <font>
      <sz val="18"/>
      <color indexed="12"/>
      <name val="Times New Roman Cyr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177" fontId="13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horizontal="center" vertical="top" wrapText="1"/>
    </xf>
    <xf numFmtId="0" fontId="23" fillId="32" borderId="10" xfId="0" applyFont="1" applyFill="1" applyBorder="1" applyAlignment="1">
      <alignment horizontal="center" vertical="center" wrapText="1"/>
    </xf>
    <xf numFmtId="178" fontId="13" fillId="32" borderId="10" xfId="0" applyNumberFormat="1" applyFont="1" applyFill="1" applyBorder="1" applyAlignment="1">
      <alignment horizontal="center" vertical="center" wrapText="1"/>
    </xf>
    <xf numFmtId="177" fontId="13" fillId="32" borderId="10" xfId="0" applyNumberFormat="1" applyFont="1" applyFill="1" applyBorder="1" applyAlignment="1">
      <alignment horizontal="center" vertical="center" wrapText="1"/>
    </xf>
    <xf numFmtId="177" fontId="22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177" fontId="19" fillId="32" borderId="10" xfId="0" applyNumberFormat="1" applyFont="1" applyFill="1" applyBorder="1" applyAlignment="1">
      <alignment horizontal="center" vertical="center"/>
    </xf>
    <xf numFmtId="178" fontId="22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14" fillId="32" borderId="10" xfId="0" applyFont="1" applyFill="1" applyBorder="1" applyAlignment="1">
      <alignment horizontal="left" wrapText="1"/>
    </xf>
    <xf numFmtId="178" fontId="13" fillId="32" borderId="10" xfId="0" applyNumberFormat="1" applyFont="1" applyFill="1" applyBorder="1" applyAlignment="1">
      <alignment horizontal="center" vertical="center"/>
    </xf>
    <xf numFmtId="1" fontId="13" fillId="32" borderId="10" xfId="0" applyNumberFormat="1" applyFont="1" applyFill="1" applyBorder="1" applyAlignment="1">
      <alignment horizontal="center" vertical="center"/>
    </xf>
    <xf numFmtId="1" fontId="19" fillId="32" borderId="10" xfId="0" applyNumberFormat="1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177" fontId="20" fillId="32" borderId="10" xfId="0" applyNumberFormat="1" applyFont="1" applyFill="1" applyBorder="1" applyAlignment="1">
      <alignment horizontal="center" vertical="center"/>
    </xf>
    <xf numFmtId="177" fontId="22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horizontal="center" vertical="top" wrapText="1"/>
    </xf>
    <xf numFmtId="0" fontId="22" fillId="32" borderId="10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1" fontId="22" fillId="32" borderId="10" xfId="0" applyNumberFormat="1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178" fontId="14" fillId="32" borderId="10" xfId="0" applyNumberFormat="1" applyFont="1" applyFill="1" applyBorder="1" applyAlignment="1">
      <alignment horizontal="center" vertical="center"/>
    </xf>
    <xf numFmtId="178" fontId="14" fillId="32" borderId="10" xfId="0" applyNumberFormat="1" applyFont="1" applyFill="1" applyBorder="1" applyAlignment="1">
      <alignment horizontal="center" vertical="center" wrapText="1"/>
    </xf>
    <xf numFmtId="4" fontId="13" fillId="32" borderId="10" xfId="0" applyNumberFormat="1" applyFont="1" applyFill="1" applyBorder="1" applyAlignment="1">
      <alignment horizontal="center" vertical="center"/>
    </xf>
    <xf numFmtId="0" fontId="14" fillId="32" borderId="0" xfId="0" applyFont="1" applyFill="1" applyAlignment="1">
      <alignment horizontal="center" vertical="center"/>
    </xf>
    <xf numFmtId="177" fontId="13" fillId="32" borderId="10" xfId="0" applyNumberFormat="1" applyFont="1" applyFill="1" applyBorder="1" applyAlignment="1">
      <alignment horizontal="center"/>
    </xf>
    <xf numFmtId="177" fontId="19" fillId="32" borderId="10" xfId="0" applyNumberFormat="1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2" fontId="13" fillId="32" borderId="10" xfId="0" applyNumberFormat="1" applyFont="1" applyFill="1" applyBorder="1" applyAlignment="1">
      <alignment horizontal="center" vertical="center"/>
    </xf>
    <xf numFmtId="184" fontId="13" fillId="32" borderId="10" xfId="0" applyNumberFormat="1" applyFont="1" applyFill="1" applyBorder="1" applyAlignment="1">
      <alignment horizontal="center" vertical="center"/>
    </xf>
    <xf numFmtId="179" fontId="13" fillId="32" borderId="10" xfId="0" applyNumberFormat="1" applyFont="1" applyFill="1" applyBorder="1" applyAlignment="1">
      <alignment horizontal="center" vertical="center" wrapText="1"/>
    </xf>
    <xf numFmtId="179" fontId="13" fillId="32" borderId="10" xfId="0" applyNumberFormat="1" applyFont="1" applyFill="1" applyBorder="1" applyAlignment="1">
      <alignment horizontal="center" vertical="center"/>
    </xf>
    <xf numFmtId="182" fontId="13" fillId="32" borderId="10" xfId="0" applyNumberFormat="1" applyFont="1" applyFill="1" applyBorder="1" applyAlignment="1">
      <alignment horizontal="center" vertical="center"/>
    </xf>
    <xf numFmtId="182" fontId="13" fillId="32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vertical="top" wrapText="1"/>
    </xf>
    <xf numFmtId="0" fontId="13" fillId="32" borderId="0" xfId="0" applyFont="1" applyFill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/>
    </xf>
    <xf numFmtId="4" fontId="14" fillId="32" borderId="0" xfId="0" applyNumberFormat="1" applyFont="1" applyFill="1" applyAlignment="1">
      <alignment horizontal="center"/>
    </xf>
    <xf numFmtId="178" fontId="14" fillId="32" borderId="10" xfId="0" applyNumberFormat="1" applyFont="1" applyFill="1" applyBorder="1" applyAlignment="1">
      <alignment horizontal="center"/>
    </xf>
    <xf numFmtId="178" fontId="13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184" fontId="14" fillId="32" borderId="10" xfId="0" applyNumberFormat="1" applyFont="1" applyFill="1" applyBorder="1" applyAlignment="1">
      <alignment horizontal="center" vertical="center" wrapText="1"/>
    </xf>
    <xf numFmtId="184" fontId="14" fillId="32" borderId="10" xfId="0" applyNumberFormat="1" applyFont="1" applyFill="1" applyBorder="1" applyAlignment="1">
      <alignment horizontal="center" vertical="center"/>
    </xf>
    <xf numFmtId="178" fontId="22" fillId="32" borderId="10" xfId="0" applyNumberFormat="1" applyFont="1" applyFill="1" applyBorder="1" applyAlignment="1">
      <alignment horizontal="center"/>
    </xf>
    <xf numFmtId="178" fontId="19" fillId="32" borderId="10" xfId="0" applyNumberFormat="1" applyFont="1" applyFill="1" applyBorder="1" applyAlignment="1">
      <alignment horizontal="center" vertical="center"/>
    </xf>
    <xf numFmtId="178" fontId="20" fillId="32" borderId="10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 applyProtection="1">
      <alignment horizontal="left" vertical="center" wrapText="1" indent="1"/>
      <protection/>
    </xf>
    <xf numFmtId="0" fontId="17" fillId="32" borderId="10" xfId="0" applyFont="1" applyFill="1" applyBorder="1" applyAlignment="1" applyProtection="1">
      <alignment horizontal="center" vertical="center" wrapText="1"/>
      <protection/>
    </xf>
    <xf numFmtId="0" fontId="22" fillId="32" borderId="10" xfId="0" applyFont="1" applyFill="1" applyBorder="1" applyAlignment="1">
      <alignment horizontal="center" vertical="center" wrapText="1"/>
    </xf>
    <xf numFmtId="177" fontId="20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7" fontId="14" fillId="32" borderId="0" xfId="0" applyNumberFormat="1" applyFont="1" applyFill="1" applyAlignment="1">
      <alignment horizontal="center" vertical="center"/>
    </xf>
    <xf numFmtId="177" fontId="21" fillId="32" borderId="0" xfId="0" applyNumberFormat="1" applyFont="1" applyFill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27" fillId="0" borderId="10" xfId="0" applyNumberFormat="1" applyFont="1" applyFill="1" applyBorder="1" applyAlignment="1">
      <alignment horizontal="center"/>
    </xf>
    <xf numFmtId="178" fontId="14" fillId="0" borderId="12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/>
    </xf>
    <xf numFmtId="178" fontId="14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/>
    </xf>
    <xf numFmtId="177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78" fontId="13" fillId="0" borderId="12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78" fontId="14" fillId="0" borderId="12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/>
    </xf>
    <xf numFmtId="184" fontId="13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vertical="top" wrapText="1"/>
    </xf>
    <xf numFmtId="178" fontId="14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/>
    </xf>
    <xf numFmtId="178" fontId="27" fillId="0" borderId="10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Alignment="1">
      <alignment horizontal="center" vertical="center"/>
    </xf>
    <xf numFmtId="178" fontId="14" fillId="0" borderId="10" xfId="0" applyNumberFormat="1" applyFont="1" applyFill="1" applyBorder="1" applyAlignment="1">
      <alignment horizontal="left" vertical="center" wrapText="1"/>
    </xf>
    <xf numFmtId="178" fontId="17" fillId="0" borderId="10" xfId="0" applyNumberFormat="1" applyFont="1" applyFill="1" applyBorder="1" applyAlignment="1" applyProtection="1">
      <alignment horizontal="left" vertical="center" wrapText="1"/>
      <protection/>
    </xf>
    <xf numFmtId="178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178" fontId="13" fillId="0" borderId="10" xfId="0" applyNumberFormat="1" applyFont="1" applyFill="1" applyBorder="1" applyAlignment="1">
      <alignment vertical="top" wrapText="1"/>
    </xf>
    <xf numFmtId="178" fontId="13" fillId="0" borderId="10" xfId="0" applyNumberFormat="1" applyFont="1" applyFill="1" applyBorder="1" applyAlignment="1">
      <alignment horizontal="center" vertical="top" wrapText="1"/>
    </xf>
    <xf numFmtId="178" fontId="1" fillId="0" borderId="0" xfId="0" applyNumberFormat="1" applyFont="1" applyFill="1" applyAlignment="1">
      <alignment/>
    </xf>
    <xf numFmtId="178" fontId="13" fillId="0" borderId="10" xfId="0" applyNumberFormat="1" applyFont="1" applyFill="1" applyBorder="1" applyAlignment="1">
      <alignment horizontal="center" wrapText="1"/>
    </xf>
    <xf numFmtId="178" fontId="13" fillId="0" borderId="12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178" fontId="17" fillId="0" borderId="10" xfId="0" applyNumberFormat="1" applyFont="1" applyFill="1" applyBorder="1" applyAlignment="1">
      <alignment horizontal="center" vertical="center" wrapText="1"/>
    </xf>
    <xf numFmtId="177" fontId="13" fillId="0" borderId="13" xfId="0" applyNumberFormat="1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vertical="top" wrapText="1"/>
    </xf>
    <xf numFmtId="178" fontId="13" fillId="0" borderId="11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179" fontId="13" fillId="0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vertical="top" wrapText="1"/>
    </xf>
    <xf numFmtId="0" fontId="16" fillId="32" borderId="10" xfId="0" applyFont="1" applyFill="1" applyBorder="1" applyAlignment="1">
      <alignment vertical="top" wrapText="1"/>
    </xf>
    <xf numFmtId="0" fontId="12" fillId="32" borderId="12" xfId="0" applyFont="1" applyFill="1" applyBorder="1" applyAlignment="1">
      <alignment vertical="top" wrapText="1"/>
    </xf>
    <xf numFmtId="0" fontId="16" fillId="32" borderId="13" xfId="0" applyFont="1" applyFill="1" applyBorder="1" applyAlignment="1">
      <alignment vertical="top" wrapText="1"/>
    </xf>
    <xf numFmtId="0" fontId="8" fillId="32" borderId="0" xfId="0" applyFont="1" applyFill="1" applyAlignment="1">
      <alignment horizontal="right"/>
    </xf>
    <xf numFmtId="0" fontId="0" fillId="32" borderId="0" xfId="0" applyFill="1" applyAlignment="1">
      <alignment/>
    </xf>
    <xf numFmtId="2" fontId="8" fillId="32" borderId="0" xfId="0" applyNumberFormat="1" applyFont="1" applyFill="1" applyAlignment="1">
      <alignment horizontal="right" wrapText="1"/>
    </xf>
    <xf numFmtId="0" fontId="12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8" fillId="32" borderId="0" xfId="0" applyFont="1" applyFill="1" applyAlignment="1">
      <alignment horizontal="center"/>
    </xf>
    <xf numFmtId="0" fontId="12" fillId="32" borderId="12" xfId="0" applyFont="1" applyFill="1" applyBorder="1" applyAlignment="1">
      <alignment vertical="top" wrapText="1"/>
    </xf>
    <xf numFmtId="0" fontId="12" fillId="32" borderId="13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178" fontId="27" fillId="0" borderId="10" xfId="0" applyNumberFormat="1" applyFont="1" applyFill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178" fontId="27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vertical="top" wrapText="1"/>
    </xf>
    <xf numFmtId="179" fontId="13" fillId="32" borderId="10" xfId="0" applyNumberFormat="1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center"/>
    </xf>
    <xf numFmtId="184" fontId="14" fillId="0" borderId="10" xfId="0" applyNumberFormat="1" applyFont="1" applyFill="1" applyBorder="1" applyAlignment="1">
      <alignment horizontal="center" vertical="center"/>
    </xf>
    <xf numFmtId="188" fontId="14" fillId="0" borderId="10" xfId="60" applyNumberFormat="1" applyFont="1" applyFill="1" applyBorder="1" applyAlignment="1">
      <alignment horizontal="center" vertical="center"/>
    </xf>
    <xf numFmtId="187" fontId="14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wrapText="1"/>
    </xf>
    <xf numFmtId="4" fontId="13" fillId="34" borderId="10" xfId="0" applyNumberFormat="1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/>
    </xf>
    <xf numFmtId="4" fontId="22" fillId="32" borderId="10" xfId="0" applyNumberFormat="1" applyFont="1" applyFill="1" applyBorder="1" applyAlignment="1">
      <alignment horizontal="center"/>
    </xf>
    <xf numFmtId="4" fontId="14" fillId="32" borderId="0" xfId="0" applyNumberFormat="1" applyFont="1" applyFill="1" applyAlignment="1">
      <alignment horizontal="center" vertical="center"/>
    </xf>
    <xf numFmtId="4" fontId="20" fillId="32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tabSelected="1" view="pageBreakPreview" zoomScale="51" zoomScaleNormal="48" zoomScaleSheetLayoutView="51" zoomScalePageLayoutView="0" workbookViewId="0" topLeftCell="A7">
      <pane ySplit="1" topLeftCell="A31" activePane="bottomLeft" state="frozen"/>
      <selection pane="topLeft" activeCell="A7" sqref="A7"/>
      <selection pane="bottomLeft" activeCell="Y48" sqref="Y48"/>
    </sheetView>
  </sheetViews>
  <sheetFormatPr defaultColWidth="9.125" defaultRowHeight="12.75"/>
  <cols>
    <col min="1" max="1" width="8.00390625" style="4" customWidth="1"/>
    <col min="2" max="2" width="67.375" style="4" customWidth="1"/>
    <col min="3" max="3" width="17.50390625" style="4" customWidth="1"/>
    <col min="4" max="4" width="14.50390625" style="4" hidden="1" customWidth="1"/>
    <col min="5" max="5" width="16.875" style="4" hidden="1" customWidth="1"/>
    <col min="6" max="6" width="19.375" style="4" hidden="1" customWidth="1"/>
    <col min="7" max="7" width="22.875" style="4" hidden="1" customWidth="1"/>
    <col min="8" max="9" width="16.375" style="4" hidden="1" customWidth="1"/>
    <col min="10" max="10" width="15.625" style="4" hidden="1" customWidth="1"/>
    <col min="11" max="11" width="17.00390625" style="4" hidden="1" customWidth="1"/>
    <col min="12" max="12" width="15.375" style="4" hidden="1" customWidth="1"/>
    <col min="13" max="13" width="17.00390625" style="4" hidden="1" customWidth="1"/>
    <col min="14" max="16" width="22.00390625" style="6" customWidth="1"/>
    <col min="17" max="17" width="22.875" style="6" customWidth="1"/>
    <col min="18" max="25" width="22.00390625" style="6" customWidth="1"/>
    <col min="26" max="16384" width="9.125" style="4" customWidth="1"/>
  </cols>
  <sheetData>
    <row r="1" spans="1:25" ht="18" customHeight="1">
      <c r="A1" s="149" t="s">
        <v>273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</row>
    <row r="2" spans="1:25" s="5" customFormat="1" ht="17.25" customHeight="1" hidden="1">
      <c r="A2" s="151" t="s">
        <v>255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</row>
    <row r="3" spans="1:25" s="5" customFormat="1" ht="17.2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</row>
    <row r="4" spans="1:25" s="2" customFormat="1" ht="20.25" customHeight="1">
      <c r="A4" s="152" t="s">
        <v>83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  <c r="S4" s="154"/>
      <c r="T4" s="154"/>
      <c r="U4" s="154"/>
      <c r="V4" s="150"/>
      <c r="W4" s="150"/>
      <c r="X4" s="150"/>
      <c r="Y4" s="150"/>
    </row>
    <row r="5" spans="1:25" s="2" customFormat="1" ht="20.25">
      <c r="A5" s="155" t="s">
        <v>254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4"/>
      <c r="S5" s="154"/>
      <c r="T5" s="154"/>
      <c r="U5" s="154"/>
      <c r="V5" s="150"/>
      <c r="W5" s="150"/>
      <c r="X5" s="150"/>
      <c r="Y5" s="150"/>
    </row>
    <row r="6" spans="1:24" ht="12.7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V6" s="3"/>
      <c r="X6" s="3"/>
    </row>
    <row r="7" spans="1:25" s="1" customFormat="1" ht="187.5" customHeight="1">
      <c r="A7" s="74" t="s">
        <v>105</v>
      </c>
      <c r="B7" s="75" t="s">
        <v>0</v>
      </c>
      <c r="C7" s="75" t="s">
        <v>82</v>
      </c>
      <c r="D7" s="36" t="s">
        <v>256</v>
      </c>
      <c r="E7" s="36" t="s">
        <v>257</v>
      </c>
      <c r="F7" s="36" t="s">
        <v>258</v>
      </c>
      <c r="G7" s="36" t="s">
        <v>259</v>
      </c>
      <c r="H7" s="36" t="s">
        <v>240</v>
      </c>
      <c r="I7" s="36" t="s">
        <v>247</v>
      </c>
      <c r="J7" s="36" t="s">
        <v>260</v>
      </c>
      <c r="K7" s="36" t="s">
        <v>261</v>
      </c>
      <c r="L7" s="36" t="s">
        <v>248</v>
      </c>
      <c r="M7" s="36" t="s">
        <v>249</v>
      </c>
      <c r="N7" s="36" t="s">
        <v>262</v>
      </c>
      <c r="O7" s="36" t="s">
        <v>263</v>
      </c>
      <c r="P7" s="36" t="s">
        <v>251</v>
      </c>
      <c r="Q7" s="36" t="s">
        <v>252</v>
      </c>
      <c r="R7" s="36" t="s">
        <v>264</v>
      </c>
      <c r="S7" s="36" t="s">
        <v>270</v>
      </c>
      <c r="T7" s="36" t="s">
        <v>267</v>
      </c>
      <c r="U7" s="106" t="s">
        <v>253</v>
      </c>
      <c r="V7" s="36" t="s">
        <v>268</v>
      </c>
      <c r="W7" s="7" t="s">
        <v>269</v>
      </c>
      <c r="X7" s="36" t="s">
        <v>271</v>
      </c>
      <c r="Y7" s="7" t="s">
        <v>272</v>
      </c>
    </row>
    <row r="8" spans="1:25" s="1" customFormat="1" ht="24" customHeight="1">
      <c r="A8" s="52" t="s">
        <v>106</v>
      </c>
      <c r="B8" s="147" t="s">
        <v>71</v>
      </c>
      <c r="C8" s="148"/>
      <c r="D8" s="36"/>
      <c r="E8" s="36"/>
      <c r="F8" s="36"/>
      <c r="G8" s="36"/>
      <c r="H8" s="36"/>
      <c r="I8" s="76"/>
      <c r="J8" s="36"/>
      <c r="K8" s="36"/>
      <c r="L8" s="36"/>
      <c r="M8" s="36"/>
      <c r="N8" s="53"/>
      <c r="O8" s="53"/>
      <c r="P8" s="53"/>
      <c r="Q8" s="53"/>
      <c r="R8" s="53"/>
      <c r="S8" s="53"/>
      <c r="T8" s="53"/>
      <c r="U8" s="107"/>
      <c r="V8" s="60"/>
      <c r="W8" s="24"/>
      <c r="X8" s="60"/>
      <c r="Y8" s="24"/>
    </row>
    <row r="9" spans="1:25" s="1" customFormat="1" ht="24" customHeight="1">
      <c r="A9" s="28" t="s">
        <v>108</v>
      </c>
      <c r="B9" s="77" t="s">
        <v>229</v>
      </c>
      <c r="C9" s="30" t="s">
        <v>1</v>
      </c>
      <c r="D9" s="36"/>
      <c r="E9" s="36"/>
      <c r="F9" s="36">
        <v>29.878</v>
      </c>
      <c r="G9" s="33">
        <v>97.9</v>
      </c>
      <c r="H9" s="70">
        <v>29.79</v>
      </c>
      <c r="I9" s="33">
        <v>98</v>
      </c>
      <c r="J9" s="39">
        <v>29.548</v>
      </c>
      <c r="K9" s="35">
        <f>J9/F9*100</f>
        <v>98.89550840083004</v>
      </c>
      <c r="L9" s="39">
        <v>29.419</v>
      </c>
      <c r="M9" s="35">
        <f>L9/H9*100</f>
        <v>98.75461564283316</v>
      </c>
      <c r="N9" s="39">
        <v>1.275</v>
      </c>
      <c r="O9" s="35">
        <f>N9/J9*100</f>
        <v>4.315012860430486</v>
      </c>
      <c r="P9" s="39">
        <v>1.277</v>
      </c>
      <c r="Q9" s="35">
        <f>P9/L9*100</f>
        <v>4.340732179883748</v>
      </c>
      <c r="R9" s="71">
        <v>1.278</v>
      </c>
      <c r="S9" s="35">
        <f>R9/N9*100</f>
        <v>100.23529411764707</v>
      </c>
      <c r="T9" s="71">
        <v>1.28</v>
      </c>
      <c r="U9" s="108">
        <f>T9/P9*100</f>
        <v>100.23492560689115</v>
      </c>
      <c r="V9" s="53">
        <v>1.274</v>
      </c>
      <c r="W9" s="113">
        <f>V9/R9*100</f>
        <v>99.68701095461658</v>
      </c>
      <c r="X9" s="169">
        <v>1.274</v>
      </c>
      <c r="Y9" s="113">
        <f>X9/T9*100</f>
        <v>99.53125</v>
      </c>
    </row>
    <row r="10" spans="1:25" s="1" customFormat="1" ht="24" customHeight="1">
      <c r="A10" s="28" t="s">
        <v>109</v>
      </c>
      <c r="B10" s="29" t="s">
        <v>234</v>
      </c>
      <c r="C10" s="30" t="s">
        <v>84</v>
      </c>
      <c r="D10" s="36"/>
      <c r="E10" s="36"/>
      <c r="F10" s="36">
        <v>154</v>
      </c>
      <c r="G10" s="33">
        <v>154</v>
      </c>
      <c r="H10" s="36">
        <v>189</v>
      </c>
      <c r="I10" s="33">
        <v>103.3</v>
      </c>
      <c r="J10" s="39">
        <v>105</v>
      </c>
      <c r="K10" s="35">
        <f>J10/F10*100</f>
        <v>68.18181818181817</v>
      </c>
      <c r="L10" s="39">
        <v>106</v>
      </c>
      <c r="M10" s="35">
        <f>L10/H10*100</f>
        <v>56.08465608465608</v>
      </c>
      <c r="N10" s="39">
        <v>1</v>
      </c>
      <c r="O10" s="35">
        <f>N10/J10*100</f>
        <v>0.9523809523809524</v>
      </c>
      <c r="P10" s="39">
        <v>1</v>
      </c>
      <c r="Q10" s="35">
        <f>P10/L10*100</f>
        <v>0.9433962264150944</v>
      </c>
      <c r="R10" s="35">
        <v>2</v>
      </c>
      <c r="S10" s="35">
        <f>R10/N10*100</f>
        <v>200</v>
      </c>
      <c r="T10" s="35">
        <v>3</v>
      </c>
      <c r="U10" s="108">
        <f>T10/P10*100</f>
        <v>300</v>
      </c>
      <c r="V10" s="53">
        <v>-6</v>
      </c>
      <c r="W10" s="113">
        <f aca="true" t="shared" si="0" ref="W10:W16">V10/R10*100</f>
        <v>-300</v>
      </c>
      <c r="X10" s="53">
        <v>-6</v>
      </c>
      <c r="Y10" s="113">
        <f aca="true" t="shared" si="1" ref="Y10:Y16">X10/T10*100</f>
        <v>-200</v>
      </c>
    </row>
    <row r="11" spans="1:25" s="1" customFormat="1" ht="24" customHeight="1">
      <c r="A11" s="28" t="s">
        <v>110</v>
      </c>
      <c r="B11" s="29" t="s">
        <v>68</v>
      </c>
      <c r="C11" s="30" t="s">
        <v>84</v>
      </c>
      <c r="D11" s="36"/>
      <c r="E11" s="36"/>
      <c r="F11" s="36">
        <v>-422</v>
      </c>
      <c r="G11" s="33">
        <v>-634</v>
      </c>
      <c r="H11" s="36">
        <v>-634</v>
      </c>
      <c r="I11" s="33">
        <v>66.2</v>
      </c>
      <c r="J11" s="39">
        <v>-143</v>
      </c>
      <c r="K11" s="35">
        <f>J11/F11*100</f>
        <v>33.88625592417062</v>
      </c>
      <c r="L11" s="39">
        <v>-402</v>
      </c>
      <c r="M11" s="35">
        <f>L11/H11*100</f>
        <v>63.40694006309149</v>
      </c>
      <c r="N11" s="39">
        <v>0</v>
      </c>
      <c r="O11" s="35">
        <f>N11/J11*100</f>
        <v>0</v>
      </c>
      <c r="P11" s="39">
        <v>0</v>
      </c>
      <c r="Q11" s="35">
        <f>P11/L11*100</f>
        <v>0</v>
      </c>
      <c r="R11" s="35">
        <v>0</v>
      </c>
      <c r="S11" s="35" t="e">
        <f>R11/N11*100</f>
        <v>#DIV/0!</v>
      </c>
      <c r="T11" s="35">
        <v>0</v>
      </c>
      <c r="U11" s="108" t="e">
        <f>T11/P11*100</f>
        <v>#DIV/0!</v>
      </c>
      <c r="V11" s="65">
        <v>0</v>
      </c>
      <c r="W11" s="113" t="e">
        <f t="shared" si="0"/>
        <v>#DIV/0!</v>
      </c>
      <c r="X11" s="65">
        <v>0</v>
      </c>
      <c r="Y11" s="113" t="e">
        <f t="shared" si="1"/>
        <v>#DIV/0!</v>
      </c>
    </row>
    <row r="12" spans="1:25" s="1" customFormat="1" ht="24" customHeight="1">
      <c r="A12" s="52" t="s">
        <v>107</v>
      </c>
      <c r="B12" s="145" t="s">
        <v>72</v>
      </c>
      <c r="C12" s="14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9"/>
      <c r="O12" s="39"/>
      <c r="P12" s="39"/>
      <c r="Q12" s="39"/>
      <c r="R12" s="39"/>
      <c r="S12" s="35"/>
      <c r="T12" s="39"/>
      <c r="U12" s="108"/>
      <c r="V12" s="60"/>
      <c r="W12" s="113"/>
      <c r="X12" s="60"/>
      <c r="Y12" s="113"/>
    </row>
    <row r="13" spans="1:25" s="1" customFormat="1" ht="74.25" customHeight="1">
      <c r="A13" s="28" t="s">
        <v>111</v>
      </c>
      <c r="B13" s="77" t="s">
        <v>55</v>
      </c>
      <c r="C13" s="75" t="s">
        <v>1</v>
      </c>
      <c r="D13" s="36"/>
      <c r="E13" s="36"/>
      <c r="F13" s="33">
        <v>19.1</v>
      </c>
      <c r="G13" s="33">
        <f>F13/19.931*100</f>
        <v>95.83061562390247</v>
      </c>
      <c r="H13" s="33">
        <f>H14+1.388</f>
        <v>19.433999999999997</v>
      </c>
      <c r="I13" s="33">
        <f>H13/19.885*100</f>
        <v>97.73195876288658</v>
      </c>
      <c r="J13" s="35">
        <f>J14+1.48</f>
        <v>20.725</v>
      </c>
      <c r="K13" s="35">
        <f>J13/F13*100</f>
        <v>108.50785340314135</v>
      </c>
      <c r="L13" s="33">
        <v>20.16</v>
      </c>
      <c r="M13" s="33">
        <f>L13/H13*100</f>
        <v>103.73572090151282</v>
      </c>
      <c r="N13" s="35">
        <v>0.363</v>
      </c>
      <c r="O13" s="35">
        <f>N13/J13*100</f>
        <v>1.7515078407720142</v>
      </c>
      <c r="P13" s="71">
        <v>0.363</v>
      </c>
      <c r="Q13" s="35">
        <f>P13/L13*100</f>
        <v>1.800595238095238</v>
      </c>
      <c r="R13" s="35">
        <v>0.35</v>
      </c>
      <c r="S13" s="35">
        <f>R13/N13*100</f>
        <v>96.41873278236915</v>
      </c>
      <c r="T13" s="68">
        <v>0.35</v>
      </c>
      <c r="U13" s="108">
        <f>T13/P13*100</f>
        <v>96.41873278236915</v>
      </c>
      <c r="V13" s="39">
        <v>0.35</v>
      </c>
      <c r="W13" s="10">
        <f t="shared" si="0"/>
        <v>100</v>
      </c>
      <c r="X13" s="39">
        <v>0.35</v>
      </c>
      <c r="Y13" s="10">
        <f t="shared" si="1"/>
        <v>100</v>
      </c>
    </row>
    <row r="14" spans="1:26" s="1" customFormat="1" ht="99" customHeight="1">
      <c r="A14" s="28" t="s">
        <v>112</v>
      </c>
      <c r="B14" s="77" t="s">
        <v>56</v>
      </c>
      <c r="C14" s="75" t="s">
        <v>1</v>
      </c>
      <c r="D14" s="36"/>
      <c r="E14" s="36"/>
      <c r="F14" s="33">
        <v>17.807</v>
      </c>
      <c r="G14" s="33">
        <f>F14/18.512*100</f>
        <v>96.19165946413136</v>
      </c>
      <c r="H14" s="33">
        <v>18.046</v>
      </c>
      <c r="I14" s="33">
        <f>H14/18.607*100</f>
        <v>96.98500564303757</v>
      </c>
      <c r="J14" s="35">
        <v>19.245</v>
      </c>
      <c r="K14" s="35">
        <f>J14/F14*100</f>
        <v>108.0754759364295</v>
      </c>
      <c r="L14" s="33">
        <v>18.74</v>
      </c>
      <c r="M14" s="33">
        <f>L14/H14*100</f>
        <v>103.84572758506039</v>
      </c>
      <c r="N14" s="35">
        <v>0.026</v>
      </c>
      <c r="O14" s="35">
        <f>N14/J14*100</f>
        <v>0.13510002598077422</v>
      </c>
      <c r="P14" s="71">
        <v>0.026</v>
      </c>
      <c r="Q14" s="35">
        <f>P14/L14*100</f>
        <v>0.13874066168623267</v>
      </c>
      <c r="R14" s="35">
        <v>0.1</v>
      </c>
      <c r="S14" s="35">
        <f>R14/N14*100</f>
        <v>384.61538461538464</v>
      </c>
      <c r="T14" s="35">
        <v>0.1</v>
      </c>
      <c r="U14" s="108">
        <f>T14/P14*100</f>
        <v>384.61538461538464</v>
      </c>
      <c r="V14" s="39">
        <v>0.1</v>
      </c>
      <c r="W14" s="10">
        <f t="shared" si="0"/>
        <v>100</v>
      </c>
      <c r="X14" s="39">
        <v>0.1</v>
      </c>
      <c r="Y14" s="10">
        <f t="shared" si="1"/>
        <v>100</v>
      </c>
      <c r="Z14" s="78"/>
    </row>
    <row r="15" spans="1:25" s="1" customFormat="1" ht="95.25" customHeight="1">
      <c r="A15" s="28" t="s">
        <v>113</v>
      </c>
      <c r="B15" s="77" t="s">
        <v>92</v>
      </c>
      <c r="C15" s="75" t="s">
        <v>1</v>
      </c>
      <c r="D15" s="36"/>
      <c r="E15" s="36"/>
      <c r="F15" s="33">
        <v>0.441</v>
      </c>
      <c r="G15" s="33">
        <f>F15/1.287*100</f>
        <v>34.26573426573427</v>
      </c>
      <c r="H15" s="33">
        <v>0.441</v>
      </c>
      <c r="I15" s="33">
        <f>H15/0.532*100</f>
        <v>82.89473684210526</v>
      </c>
      <c r="J15" s="35">
        <v>0.494</v>
      </c>
      <c r="K15" s="35">
        <f>J15/F15*100</f>
        <v>112.01814058956916</v>
      </c>
      <c r="L15" s="33">
        <v>0.483</v>
      </c>
      <c r="M15" s="33">
        <f>L15/H15*100</f>
        <v>109.52380952380952</v>
      </c>
      <c r="N15" s="71">
        <v>0.077</v>
      </c>
      <c r="O15" s="35">
        <f>N15/J15*100</f>
        <v>15.587044534412955</v>
      </c>
      <c r="P15" s="143">
        <v>0.102</v>
      </c>
      <c r="Q15" s="35">
        <f>P15/L15*100</f>
        <v>21.11801242236025</v>
      </c>
      <c r="R15" s="71">
        <v>0.055</v>
      </c>
      <c r="S15" s="35">
        <f>R15/N15*100</f>
        <v>71.42857142857143</v>
      </c>
      <c r="T15" s="71">
        <v>0.073</v>
      </c>
      <c r="U15" s="108">
        <f>T15/P15*100</f>
        <v>71.56862745098039</v>
      </c>
      <c r="V15" s="39">
        <v>0.058</v>
      </c>
      <c r="W15" s="10">
        <f t="shared" si="0"/>
        <v>105.45454545454547</v>
      </c>
      <c r="X15" s="39">
        <v>0.077</v>
      </c>
      <c r="Y15" s="10">
        <f t="shared" si="1"/>
        <v>105.47945205479452</v>
      </c>
    </row>
    <row r="16" spans="1:25" s="1" customFormat="1" ht="47.25" customHeight="1">
      <c r="A16" s="28" t="s">
        <v>114</v>
      </c>
      <c r="B16" s="77" t="s">
        <v>91</v>
      </c>
      <c r="C16" s="75" t="s">
        <v>1</v>
      </c>
      <c r="D16" s="36"/>
      <c r="E16" s="36"/>
      <c r="F16" s="33">
        <v>0.268</v>
      </c>
      <c r="G16" s="33">
        <f>F16/0.343*100</f>
        <v>78.134110787172</v>
      </c>
      <c r="H16" s="33">
        <v>0.276</v>
      </c>
      <c r="I16" s="33">
        <f>H16/0.356*100</f>
        <v>77.52808988764046</v>
      </c>
      <c r="J16" s="35">
        <v>0.258</v>
      </c>
      <c r="K16" s="35">
        <f>J16/F16*100</f>
        <v>96.26865671641791</v>
      </c>
      <c r="L16" s="33">
        <v>0.269</v>
      </c>
      <c r="M16" s="33">
        <f>L16/H16*100</f>
        <v>97.46376811594203</v>
      </c>
      <c r="N16" s="71">
        <v>0.077</v>
      </c>
      <c r="O16" s="35">
        <f>N16/J16*100</f>
        <v>29.844961240310074</v>
      </c>
      <c r="P16" s="143">
        <v>0.102</v>
      </c>
      <c r="Q16" s="35">
        <f>P16/L16*100</f>
        <v>37.91821561338289</v>
      </c>
      <c r="R16" s="71">
        <v>0.055</v>
      </c>
      <c r="S16" s="35">
        <f>R16/N16*100</f>
        <v>71.42857142857143</v>
      </c>
      <c r="T16" s="71">
        <v>0.073</v>
      </c>
      <c r="U16" s="108">
        <f>T16/P16*100</f>
        <v>71.56862745098039</v>
      </c>
      <c r="V16" s="39">
        <v>0.058</v>
      </c>
      <c r="W16" s="10">
        <f t="shared" si="0"/>
        <v>105.45454545454547</v>
      </c>
      <c r="X16" s="71">
        <v>0.077</v>
      </c>
      <c r="Y16" s="10">
        <f t="shared" si="1"/>
        <v>105.47945205479452</v>
      </c>
    </row>
    <row r="17" spans="1:25" s="1" customFormat="1" ht="49.5" customHeight="1">
      <c r="A17" s="28" t="s">
        <v>115</v>
      </c>
      <c r="B17" s="77" t="s">
        <v>201</v>
      </c>
      <c r="C17" s="75" t="s">
        <v>7</v>
      </c>
      <c r="D17" s="36"/>
      <c r="E17" s="36" t="s">
        <v>90</v>
      </c>
      <c r="F17" s="33">
        <v>1.36</v>
      </c>
      <c r="G17" s="33" t="s">
        <v>242</v>
      </c>
      <c r="H17" s="33">
        <v>1.3</v>
      </c>
      <c r="I17" s="33" t="s">
        <v>242</v>
      </c>
      <c r="J17" s="35">
        <v>1.22</v>
      </c>
      <c r="K17" s="35" t="s">
        <v>242</v>
      </c>
      <c r="L17" s="33">
        <v>1.2</v>
      </c>
      <c r="M17" s="33" t="s">
        <v>242</v>
      </c>
      <c r="N17" s="35">
        <v>6</v>
      </c>
      <c r="O17" s="35" t="s">
        <v>242</v>
      </c>
      <c r="P17" s="10">
        <v>8</v>
      </c>
      <c r="Q17" s="35" t="s">
        <v>242</v>
      </c>
      <c r="R17" s="35">
        <v>4</v>
      </c>
      <c r="S17" s="35">
        <f>R17/N17*100</f>
        <v>66.66666666666666</v>
      </c>
      <c r="T17" s="35">
        <v>6</v>
      </c>
      <c r="U17" s="108">
        <f>T17/P17*100</f>
        <v>75</v>
      </c>
      <c r="V17" s="39">
        <v>4</v>
      </c>
      <c r="W17" s="10" t="s">
        <v>242</v>
      </c>
      <c r="X17" s="39">
        <v>6</v>
      </c>
      <c r="Y17" s="10" t="s">
        <v>242</v>
      </c>
    </row>
    <row r="18" spans="1:25" s="1" customFormat="1" ht="24.75" customHeight="1" hidden="1">
      <c r="A18" s="28" t="s">
        <v>205</v>
      </c>
      <c r="B18" s="77" t="s">
        <v>202</v>
      </c>
      <c r="C18" s="79" t="s">
        <v>51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9"/>
      <c r="O18" s="39"/>
      <c r="P18" s="39"/>
      <c r="Q18" s="39"/>
      <c r="R18" s="39"/>
      <c r="S18" s="39"/>
      <c r="T18" s="39"/>
      <c r="U18" s="109"/>
      <c r="V18" s="60"/>
      <c r="W18" s="24"/>
      <c r="X18" s="60"/>
      <c r="Y18" s="24"/>
    </row>
    <row r="19" spans="1:25" s="1" customFormat="1" ht="21.75" customHeight="1" hidden="1">
      <c r="A19" s="28" t="s">
        <v>206</v>
      </c>
      <c r="B19" s="77" t="s">
        <v>203</v>
      </c>
      <c r="C19" s="79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9"/>
      <c r="O19" s="39"/>
      <c r="P19" s="39"/>
      <c r="Q19" s="39"/>
      <c r="R19" s="39"/>
      <c r="S19" s="39"/>
      <c r="T19" s="39"/>
      <c r="U19" s="109"/>
      <c r="V19" s="60"/>
      <c r="W19" s="24"/>
      <c r="X19" s="60"/>
      <c r="Y19" s="24"/>
    </row>
    <row r="20" spans="1:25" s="1" customFormat="1" ht="21.75" customHeight="1" hidden="1">
      <c r="A20" s="28" t="s">
        <v>207</v>
      </c>
      <c r="B20" s="77" t="s">
        <v>204</v>
      </c>
      <c r="C20" s="79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9"/>
      <c r="O20" s="39"/>
      <c r="P20" s="39"/>
      <c r="Q20" s="39"/>
      <c r="R20" s="39"/>
      <c r="S20" s="39"/>
      <c r="T20" s="39"/>
      <c r="U20" s="109"/>
      <c r="V20" s="80"/>
      <c r="W20" s="24"/>
      <c r="X20" s="60"/>
      <c r="Y20" s="24"/>
    </row>
    <row r="21" spans="1:25" s="1" customFormat="1" ht="69.75" customHeight="1">
      <c r="A21" s="52" t="s">
        <v>116</v>
      </c>
      <c r="B21" s="156" t="s">
        <v>75</v>
      </c>
      <c r="C21" s="15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9"/>
      <c r="O21" s="39"/>
      <c r="P21" s="39"/>
      <c r="Q21" s="39"/>
      <c r="R21" s="39"/>
      <c r="S21" s="39"/>
      <c r="T21" s="39"/>
      <c r="U21" s="109"/>
      <c r="V21" s="80"/>
      <c r="W21" s="24"/>
      <c r="X21" s="60"/>
      <c r="Y21" s="24"/>
    </row>
    <row r="22" spans="1:25" s="1" customFormat="1" ht="22.5" customHeight="1">
      <c r="A22" s="28"/>
      <c r="B22" s="29" t="s">
        <v>2</v>
      </c>
      <c r="C22" s="30" t="s">
        <v>3</v>
      </c>
      <c r="D22" s="36"/>
      <c r="E22" s="36" t="s">
        <v>90</v>
      </c>
      <c r="F22" s="32">
        <f>F24+F26+F28</f>
        <v>83621.63999999998</v>
      </c>
      <c r="G22" s="32">
        <v>98.91510170477932</v>
      </c>
      <c r="H22" s="32">
        <f>H24+H26+H28</f>
        <v>118048.18400000001</v>
      </c>
      <c r="I22" s="32">
        <v>106.04404097881459</v>
      </c>
      <c r="J22" s="32">
        <f>J24+J26+J28</f>
        <v>89911.2344</v>
      </c>
      <c r="K22" s="42">
        <v>107.52149132688622</v>
      </c>
      <c r="L22" s="32">
        <f>L24+L26+L28</f>
        <v>117643.9</v>
      </c>
      <c r="M22" s="42">
        <v>101.827184330934</v>
      </c>
      <c r="N22" s="42"/>
      <c r="O22" s="42">
        <f>N22/J22*100</f>
        <v>0</v>
      </c>
      <c r="P22" s="42">
        <f>P24+P26+P28</f>
        <v>0</v>
      </c>
      <c r="Q22" s="42">
        <f>P22/L22*100</f>
        <v>0</v>
      </c>
      <c r="R22" s="42">
        <f>R24+R26+R28</f>
        <v>94473.4</v>
      </c>
      <c r="S22" s="42" t="e">
        <f>R22/N22*100</f>
        <v>#DIV/0!</v>
      </c>
      <c r="T22" s="42">
        <f>T24+T26+T28</f>
        <v>128913.4</v>
      </c>
      <c r="U22" s="110" t="e">
        <f>T22/P22*100</f>
        <v>#DIV/0!</v>
      </c>
      <c r="V22" s="42">
        <f>V24+V26+V28</f>
        <v>122736.6</v>
      </c>
      <c r="W22" s="26">
        <f>V22/R22*100</f>
        <v>129.9165691083416</v>
      </c>
      <c r="X22" s="81">
        <f>X24+X26+X28</f>
        <v>163648.80000000002</v>
      </c>
      <c r="Y22" s="117">
        <f>X22/T22*100</f>
        <v>126.94475516121678</v>
      </c>
    </row>
    <row r="23" spans="1:25" s="1" customFormat="1" ht="51" customHeight="1">
      <c r="A23" s="28" t="s">
        <v>117</v>
      </c>
      <c r="B23" s="29" t="s">
        <v>58</v>
      </c>
      <c r="C23" s="30" t="s">
        <v>59</v>
      </c>
      <c r="D23" s="36"/>
      <c r="E23" s="36"/>
      <c r="F23" s="32">
        <f>F24/F22*F25+F26/F22*F27+F28/F22*F29</f>
        <v>104.26817879319276</v>
      </c>
      <c r="G23" s="32" t="s">
        <v>242</v>
      </c>
      <c r="H23" s="32">
        <f>H24/H22*H25+H26/H22*H27+H28/H22*H29</f>
        <v>103.61149403365664</v>
      </c>
      <c r="I23" s="32" t="s">
        <v>242</v>
      </c>
      <c r="J23" s="32">
        <f>J24/J22*J25+J26/J22*J27+J28/J22*J29</f>
        <v>101.24732702324016</v>
      </c>
      <c r="K23" s="32" t="s">
        <v>242</v>
      </c>
      <c r="L23" s="32">
        <f>L24/L22*L25+L26/L22*L27+L28/L22*L29</f>
        <v>100.74895723450176</v>
      </c>
      <c r="M23" s="32" t="s">
        <v>242</v>
      </c>
      <c r="N23" s="32" t="e">
        <f>N24/N22*N25+N26/N22*N27+N28/N22*N29</f>
        <v>#DIV/0!</v>
      </c>
      <c r="O23" s="32" t="s">
        <v>242</v>
      </c>
      <c r="P23" s="32" t="e">
        <f>P24/P22*P25+P26/P22*P27+P28/P22*P29</f>
        <v>#DIV/0!</v>
      </c>
      <c r="Q23" s="32" t="s">
        <v>242</v>
      </c>
      <c r="R23" s="32">
        <f>R24/R22*R25+R26/R22*R27+R28/R22*R29</f>
        <v>0</v>
      </c>
      <c r="S23" s="39" t="s">
        <v>242</v>
      </c>
      <c r="T23" s="32"/>
      <c r="U23" s="109" t="s">
        <v>242</v>
      </c>
      <c r="V23" s="32">
        <f>V24/V22*V25+V26/V22*V27+V28/V22*V29</f>
        <v>0</v>
      </c>
      <c r="W23" s="109" t="s">
        <v>242</v>
      </c>
      <c r="X23" s="32">
        <f>X24/X22*X25+X26/X22*X27+X28/X22*X29</f>
        <v>0</v>
      </c>
      <c r="Y23" s="118" t="s">
        <v>242</v>
      </c>
    </row>
    <row r="24" spans="1:25" s="1" customFormat="1" ht="23.25">
      <c r="A24" s="28" t="s">
        <v>118</v>
      </c>
      <c r="B24" s="29" t="s">
        <v>4</v>
      </c>
      <c r="C24" s="30"/>
      <c r="D24" s="36"/>
      <c r="E24" s="36" t="s">
        <v>90</v>
      </c>
      <c r="F24" s="32">
        <v>82149.52199999998</v>
      </c>
      <c r="G24" s="32">
        <v>98.52354384593056</v>
      </c>
      <c r="H24" s="32">
        <v>116355.191</v>
      </c>
      <c r="I24" s="32">
        <v>106.23800938190881</v>
      </c>
      <c r="J24" s="32">
        <v>88623.346</v>
      </c>
      <c r="K24" s="42">
        <v>107.88053763721233</v>
      </c>
      <c r="L24" s="32">
        <v>115866.3</v>
      </c>
      <c r="M24" s="42">
        <v>101.9675675664526</v>
      </c>
      <c r="N24" s="42"/>
      <c r="O24" s="42">
        <f>N24/J24*100</f>
        <v>0</v>
      </c>
      <c r="P24" s="42"/>
      <c r="Q24" s="42">
        <f>P24/L24*100</f>
        <v>0</v>
      </c>
      <c r="R24" s="42">
        <v>94473.4</v>
      </c>
      <c r="S24" s="42" t="e">
        <f>R24/N24*100</f>
        <v>#DIV/0!</v>
      </c>
      <c r="T24" s="42">
        <v>128913.4</v>
      </c>
      <c r="U24" s="110" t="e">
        <f>T24/P24*100</f>
        <v>#DIV/0!</v>
      </c>
      <c r="V24" s="82">
        <v>122736.6</v>
      </c>
      <c r="W24" s="113">
        <f>V24/R24*100</f>
        <v>129.9165691083416</v>
      </c>
      <c r="X24" s="83">
        <f>V24/9*12</f>
        <v>163648.80000000002</v>
      </c>
      <c r="Y24" s="119">
        <f>X24/T24*100</f>
        <v>126.94475516121678</v>
      </c>
    </row>
    <row r="25" spans="1:25" s="1" customFormat="1" ht="48" customHeight="1">
      <c r="A25" s="28" t="s">
        <v>119</v>
      </c>
      <c r="B25" s="29" t="s">
        <v>60</v>
      </c>
      <c r="C25" s="30" t="s">
        <v>59</v>
      </c>
      <c r="D25" s="36"/>
      <c r="E25" s="36" t="s">
        <v>90</v>
      </c>
      <c r="F25" s="36">
        <v>104.3</v>
      </c>
      <c r="G25" s="36" t="s">
        <v>242</v>
      </c>
      <c r="H25" s="36">
        <v>103.7</v>
      </c>
      <c r="I25" s="36" t="s">
        <v>242</v>
      </c>
      <c r="J25" s="36">
        <v>101.2</v>
      </c>
      <c r="K25" s="36" t="s">
        <v>242</v>
      </c>
      <c r="L25" s="36">
        <v>100.7</v>
      </c>
      <c r="M25" s="36" t="s">
        <v>242</v>
      </c>
      <c r="N25" s="39"/>
      <c r="O25" s="36" t="s">
        <v>242</v>
      </c>
      <c r="P25" s="39"/>
      <c r="Q25" s="36" t="s">
        <v>242</v>
      </c>
      <c r="R25" s="33"/>
      <c r="S25" s="39" t="s">
        <v>242</v>
      </c>
      <c r="T25" s="36"/>
      <c r="U25" s="109" t="s">
        <v>242</v>
      </c>
      <c r="V25" s="39"/>
      <c r="W25" s="109" t="s">
        <v>242</v>
      </c>
      <c r="X25" s="39"/>
      <c r="Y25" s="118" t="s">
        <v>242</v>
      </c>
    </row>
    <row r="26" spans="1:25" s="1" customFormat="1" ht="46.5">
      <c r="A26" s="28" t="s">
        <v>120</v>
      </c>
      <c r="B26" s="29" t="s">
        <v>5</v>
      </c>
      <c r="C26" s="30" t="s">
        <v>3</v>
      </c>
      <c r="D26" s="36"/>
      <c r="E26" s="36" t="s">
        <v>90</v>
      </c>
      <c r="F26" s="32">
        <v>550.829</v>
      </c>
      <c r="G26" s="32">
        <v>120.1896137900938</v>
      </c>
      <c r="H26" s="32">
        <v>645.311</v>
      </c>
      <c r="I26" s="32">
        <v>77.72171931531861</v>
      </c>
      <c r="J26" s="32">
        <v>451.4904</v>
      </c>
      <c r="K26" s="42">
        <v>81.96561909412904</v>
      </c>
      <c r="L26" s="32">
        <v>622.2</v>
      </c>
      <c r="M26" s="42">
        <v>79.58307250302566</v>
      </c>
      <c r="N26" s="42"/>
      <c r="O26" s="42">
        <f>N26/J26*100</f>
        <v>0</v>
      </c>
      <c r="P26" s="42"/>
      <c r="Q26" s="42">
        <f>P26/L26*100</f>
        <v>0</v>
      </c>
      <c r="R26" s="42"/>
      <c r="S26" s="42" t="e">
        <f>R26/N26*100</f>
        <v>#DIV/0!</v>
      </c>
      <c r="T26" s="42"/>
      <c r="U26" s="110" t="e">
        <f>T26/P26*100</f>
        <v>#DIV/0!</v>
      </c>
      <c r="V26" s="53"/>
      <c r="W26" s="113" t="e">
        <f>V26/R26*100</f>
        <v>#DIV/0!</v>
      </c>
      <c r="X26" s="83"/>
      <c r="Y26" s="119" t="e">
        <f>X26/T26*100</f>
        <v>#DIV/0!</v>
      </c>
    </row>
    <row r="27" spans="1:25" s="1" customFormat="1" ht="53.25" customHeight="1" hidden="1">
      <c r="A27" s="28" t="s">
        <v>121</v>
      </c>
      <c r="B27" s="29" t="s">
        <v>60</v>
      </c>
      <c r="C27" s="30" t="s">
        <v>59</v>
      </c>
      <c r="D27" s="36"/>
      <c r="E27" s="36" t="s">
        <v>90</v>
      </c>
      <c r="F27" s="36">
        <v>117.7</v>
      </c>
      <c r="G27" s="36" t="s">
        <v>242</v>
      </c>
      <c r="H27" s="36">
        <v>97.9</v>
      </c>
      <c r="I27" s="36" t="s">
        <v>242</v>
      </c>
      <c r="J27" s="36">
        <v>103.4</v>
      </c>
      <c r="K27" s="36" t="s">
        <v>242</v>
      </c>
      <c r="L27" s="36">
        <v>105.5</v>
      </c>
      <c r="M27" s="36" t="s">
        <v>242</v>
      </c>
      <c r="N27" s="39">
        <v>166.1</v>
      </c>
      <c r="O27" s="36" t="s">
        <v>242</v>
      </c>
      <c r="P27" s="39">
        <v>105.8</v>
      </c>
      <c r="Q27" s="36" t="s">
        <v>242</v>
      </c>
      <c r="R27" s="36"/>
      <c r="S27" s="39" t="s">
        <v>242</v>
      </c>
      <c r="T27" s="36"/>
      <c r="U27" s="109" t="s">
        <v>242</v>
      </c>
      <c r="V27" s="60"/>
      <c r="W27" s="109" t="s">
        <v>242</v>
      </c>
      <c r="X27" s="83"/>
      <c r="Y27" s="118" t="s">
        <v>242</v>
      </c>
    </row>
    <row r="28" spans="1:25" s="85" customFormat="1" ht="46.5">
      <c r="A28" s="74" t="s">
        <v>122</v>
      </c>
      <c r="B28" s="84" t="s">
        <v>6</v>
      </c>
      <c r="C28" s="36" t="s">
        <v>3</v>
      </c>
      <c r="D28" s="36"/>
      <c r="E28" s="36" t="s">
        <v>90</v>
      </c>
      <c r="F28" s="32">
        <v>921.2890000000001</v>
      </c>
      <c r="G28" s="32">
        <v>131.65032866533298</v>
      </c>
      <c r="H28" s="32">
        <v>1047.682</v>
      </c>
      <c r="I28" s="32">
        <v>108.39510004759245</v>
      </c>
      <c r="J28" s="32">
        <v>836.398</v>
      </c>
      <c r="K28" s="42">
        <v>90.78562752838685</v>
      </c>
      <c r="L28" s="32">
        <v>1155.4</v>
      </c>
      <c r="M28" s="42">
        <v>99.93734740121525</v>
      </c>
      <c r="N28" s="42"/>
      <c r="O28" s="42">
        <f>N28/J28*100</f>
        <v>0</v>
      </c>
      <c r="P28" s="42"/>
      <c r="Q28" s="42">
        <f>P28/L28*100</f>
        <v>0</v>
      </c>
      <c r="R28" s="42"/>
      <c r="S28" s="42" t="e">
        <f>R28/N28*100</f>
        <v>#DIV/0!</v>
      </c>
      <c r="T28" s="42"/>
      <c r="U28" s="110" t="e">
        <f>T28/P28*100</f>
        <v>#DIV/0!</v>
      </c>
      <c r="V28" s="39"/>
      <c r="W28" s="113" t="e">
        <f>V28/R28*100</f>
        <v>#DIV/0!</v>
      </c>
      <c r="X28" s="83"/>
      <c r="Y28" s="119" t="e">
        <f>X28/T28*100</f>
        <v>#DIV/0!</v>
      </c>
    </row>
    <row r="29" spans="1:25" s="1" customFormat="1" ht="51.75" customHeight="1">
      <c r="A29" s="28" t="s">
        <v>123</v>
      </c>
      <c r="B29" s="29" t="s">
        <v>60</v>
      </c>
      <c r="C29" s="30" t="s">
        <v>59</v>
      </c>
      <c r="D29" s="36"/>
      <c r="E29" s="36" t="s">
        <v>90</v>
      </c>
      <c r="F29" s="36">
        <v>93.4</v>
      </c>
      <c r="G29" s="36" t="s">
        <v>242</v>
      </c>
      <c r="H29" s="36">
        <v>97.3</v>
      </c>
      <c r="I29" s="36" t="s">
        <v>242</v>
      </c>
      <c r="J29" s="36">
        <v>105.1</v>
      </c>
      <c r="K29" s="36" t="s">
        <v>242</v>
      </c>
      <c r="L29" s="36">
        <v>103.1</v>
      </c>
      <c r="M29" s="36" t="s">
        <v>242</v>
      </c>
      <c r="N29" s="39"/>
      <c r="O29" s="39" t="s">
        <v>242</v>
      </c>
      <c r="P29" s="39"/>
      <c r="Q29" s="39" t="s">
        <v>242</v>
      </c>
      <c r="R29" s="39"/>
      <c r="S29" s="39" t="s">
        <v>242</v>
      </c>
      <c r="T29" s="39"/>
      <c r="U29" s="109" t="s">
        <v>242</v>
      </c>
      <c r="V29" s="39"/>
      <c r="W29" s="109" t="s">
        <v>242</v>
      </c>
      <c r="X29" s="39"/>
      <c r="Y29" s="118" t="s">
        <v>242</v>
      </c>
    </row>
    <row r="30" spans="1:25" s="1" customFormat="1" ht="27" customHeight="1">
      <c r="A30" s="52" t="s">
        <v>124</v>
      </c>
      <c r="B30" s="158" t="s">
        <v>8</v>
      </c>
      <c r="C30" s="14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9"/>
      <c r="O30" s="39"/>
      <c r="P30" s="39"/>
      <c r="Q30" s="39"/>
      <c r="R30" s="39"/>
      <c r="S30" s="39"/>
      <c r="T30" s="39"/>
      <c r="U30" s="109"/>
      <c r="V30" s="60"/>
      <c r="W30" s="24"/>
      <c r="X30" s="60"/>
      <c r="Y30" s="24"/>
    </row>
    <row r="31" spans="1:25" s="1" customFormat="1" ht="24" customHeight="1">
      <c r="A31" s="28" t="s">
        <v>125</v>
      </c>
      <c r="B31" s="29" t="s">
        <v>49</v>
      </c>
      <c r="C31" s="30" t="s">
        <v>9</v>
      </c>
      <c r="D31" s="36"/>
      <c r="E31" s="36"/>
      <c r="F31" s="62">
        <v>6.888</v>
      </c>
      <c r="G31" s="62">
        <f>F31/7.024*100</f>
        <v>98.0637813211845</v>
      </c>
      <c r="H31" s="62">
        <v>9.2026</v>
      </c>
      <c r="I31" s="62">
        <f>H31/9.3536*100</f>
        <v>98.38564830653439</v>
      </c>
      <c r="J31" s="61">
        <v>6.87</v>
      </c>
      <c r="K31" s="61">
        <f aca="true" t="shared" si="2" ref="K31:K36">J31/F31*100</f>
        <v>99.73867595818817</v>
      </c>
      <c r="L31" s="61">
        <v>9.1484</v>
      </c>
      <c r="M31" s="61">
        <f>L31/H31*100</f>
        <v>99.41103601156195</v>
      </c>
      <c r="N31" s="61"/>
      <c r="O31" s="61">
        <f>N31/J31*100</f>
        <v>0</v>
      </c>
      <c r="P31" s="35"/>
      <c r="Q31" s="35"/>
      <c r="R31" s="35"/>
      <c r="S31" s="35" t="e">
        <f>R31/N31*100</f>
        <v>#DIV/0!</v>
      </c>
      <c r="T31" s="35"/>
      <c r="U31" s="108" t="e">
        <f>T31/P31*100</f>
        <v>#DIV/0!</v>
      </c>
      <c r="V31" s="53"/>
      <c r="W31" s="113" t="e">
        <f>V31/R31*100</f>
        <v>#DIV/0!</v>
      </c>
      <c r="X31" s="65"/>
      <c r="Y31" s="113" t="e">
        <f>X31/T31*100</f>
        <v>#DIV/0!</v>
      </c>
    </row>
    <row r="32" spans="1:25" s="1" customFormat="1" ht="29.25" customHeight="1">
      <c r="A32" s="28" t="s">
        <v>126</v>
      </c>
      <c r="B32" s="29" t="s">
        <v>230</v>
      </c>
      <c r="C32" s="30" t="s">
        <v>10</v>
      </c>
      <c r="D32" s="36"/>
      <c r="E32" s="36"/>
      <c r="F32" s="62">
        <v>1.1897</v>
      </c>
      <c r="G32" s="62">
        <f>F32/1.0768*100</f>
        <v>110.48476968796435</v>
      </c>
      <c r="H32" s="62">
        <v>1.5988</v>
      </c>
      <c r="I32" s="62">
        <f>H32/1.4661*100</f>
        <v>109.05122433667553</v>
      </c>
      <c r="J32" s="61">
        <v>1.2223</v>
      </c>
      <c r="K32" s="61">
        <f t="shared" si="2"/>
        <v>102.74018660166429</v>
      </c>
      <c r="L32" s="61">
        <v>1.6308</v>
      </c>
      <c r="M32" s="61">
        <f>L32/H32*100</f>
        <v>102.00150112584438</v>
      </c>
      <c r="N32" s="61"/>
      <c r="O32" s="61">
        <f>N32/J32*100</f>
        <v>0</v>
      </c>
      <c r="P32" s="35"/>
      <c r="Q32" s="35"/>
      <c r="R32" s="35"/>
      <c r="S32" s="35" t="e">
        <f>R32/N32*100</f>
        <v>#DIV/0!</v>
      </c>
      <c r="T32" s="35"/>
      <c r="U32" s="108" t="e">
        <f>T32/P32*100</f>
        <v>#DIV/0!</v>
      </c>
      <c r="V32" s="65"/>
      <c r="W32" s="113" t="e">
        <f>V32/R32*100</f>
        <v>#DIV/0!</v>
      </c>
      <c r="X32" s="65"/>
      <c r="Y32" s="113" t="e">
        <f>X32/T32*100</f>
        <v>#DIV/0!</v>
      </c>
    </row>
    <row r="33" spans="1:25" s="1" customFormat="1" ht="25.5" customHeight="1" hidden="1">
      <c r="A33" s="28" t="s">
        <v>127</v>
      </c>
      <c r="B33" s="29" t="s">
        <v>11</v>
      </c>
      <c r="C33" s="30" t="s">
        <v>12</v>
      </c>
      <c r="D33" s="36"/>
      <c r="E33" s="36"/>
      <c r="F33" s="86">
        <v>1.1</v>
      </c>
      <c r="G33" s="62">
        <f>F33/0.5265*100</f>
        <v>208.9268755935423</v>
      </c>
      <c r="H33" s="86">
        <v>2.7</v>
      </c>
      <c r="I33" s="62">
        <f>H33/0.6948*100</f>
        <v>388.6010362694301</v>
      </c>
      <c r="J33" s="87">
        <v>1.15</v>
      </c>
      <c r="K33" s="61">
        <f>J33/F33*100</f>
        <v>104.54545454545452</v>
      </c>
      <c r="L33" s="87">
        <v>1.44</v>
      </c>
      <c r="M33" s="61">
        <f>L33/H33*100</f>
        <v>53.333333333333336</v>
      </c>
      <c r="N33" s="87">
        <v>1.18</v>
      </c>
      <c r="O33" s="61">
        <f>N33/J33*100</f>
        <v>102.60869565217392</v>
      </c>
      <c r="P33" s="71">
        <v>1.49</v>
      </c>
      <c r="Q33" s="35">
        <f>P33/L33*100</f>
        <v>103.47222222222223</v>
      </c>
      <c r="R33" s="35"/>
      <c r="S33" s="35">
        <f>R33/N33*100</f>
        <v>0</v>
      </c>
      <c r="T33" s="35"/>
      <c r="U33" s="108">
        <f>T33/P33*100</f>
        <v>0</v>
      </c>
      <c r="V33" s="65"/>
      <c r="W33" s="113" t="e">
        <f>V33/R33*100</f>
        <v>#DIV/0!</v>
      </c>
      <c r="X33" s="60"/>
      <c r="Y33" s="26" t="e">
        <f>X33/T33*100</f>
        <v>#DIV/0!</v>
      </c>
    </row>
    <row r="34" spans="1:25" s="1" customFormat="1" ht="27" customHeight="1" hidden="1">
      <c r="A34" s="28" t="s">
        <v>128</v>
      </c>
      <c r="B34" s="29" t="s">
        <v>48</v>
      </c>
      <c r="C34" s="30" t="s">
        <v>13</v>
      </c>
      <c r="D34" s="36"/>
      <c r="E34" s="36"/>
      <c r="F34" s="62"/>
      <c r="G34" s="62"/>
      <c r="H34" s="62"/>
      <c r="I34" s="62"/>
      <c r="J34" s="62"/>
      <c r="K34" s="62" t="e">
        <f t="shared" si="2"/>
        <v>#DIV/0!</v>
      </c>
      <c r="L34" s="62"/>
      <c r="M34" s="62"/>
      <c r="N34" s="61"/>
      <c r="O34" s="61" t="e">
        <f>N34/J34*100</f>
        <v>#DIV/0!</v>
      </c>
      <c r="P34" s="71"/>
      <c r="Q34" s="35" t="e">
        <f>P34/L34*100</f>
        <v>#DIV/0!</v>
      </c>
      <c r="R34" s="35"/>
      <c r="S34" s="35"/>
      <c r="T34" s="35"/>
      <c r="U34" s="108"/>
      <c r="V34" s="65"/>
      <c r="W34" s="113" t="e">
        <f>V34/R34*100</f>
        <v>#DIV/0!</v>
      </c>
      <c r="X34" s="60"/>
      <c r="Y34" s="26" t="e">
        <f>X34/T34*100</f>
        <v>#DIV/0!</v>
      </c>
    </row>
    <row r="35" spans="1:25" s="1" customFormat="1" ht="28.5" customHeight="1">
      <c r="A35" s="28" t="s">
        <v>129</v>
      </c>
      <c r="B35" s="29" t="s">
        <v>250</v>
      </c>
      <c r="C35" s="30" t="s">
        <v>13</v>
      </c>
      <c r="D35" s="36"/>
      <c r="E35" s="36"/>
      <c r="F35" s="62">
        <v>41.47</v>
      </c>
      <c r="G35" s="62">
        <f>F35/51.09*100</f>
        <v>81.17048346055978</v>
      </c>
      <c r="H35" s="62">
        <v>77.07</v>
      </c>
      <c r="I35" s="62">
        <f>H35/118.98*100</f>
        <v>64.77559253656075</v>
      </c>
      <c r="J35" s="61">
        <v>29.33</v>
      </c>
      <c r="K35" s="61">
        <f t="shared" si="2"/>
        <v>70.72582589823969</v>
      </c>
      <c r="L35" s="61">
        <v>77.7</v>
      </c>
      <c r="M35" s="61">
        <f>L35/H35*100</f>
        <v>100.81743869209812</v>
      </c>
      <c r="N35" s="61"/>
      <c r="O35" s="61">
        <f>N35/J35*100</f>
        <v>0</v>
      </c>
      <c r="P35" s="35"/>
      <c r="Q35" s="35">
        <f>P35/L35*100</f>
        <v>0</v>
      </c>
      <c r="R35" s="35"/>
      <c r="S35" s="35" t="e">
        <f>R35/N35*100</f>
        <v>#DIV/0!</v>
      </c>
      <c r="T35" s="35"/>
      <c r="U35" s="108" t="e">
        <f>T35/P35*100</f>
        <v>#DIV/0!</v>
      </c>
      <c r="V35" s="65"/>
      <c r="W35" s="113" t="e">
        <f>V35/R35*100</f>
        <v>#DIV/0!</v>
      </c>
      <c r="X35" s="53"/>
      <c r="Y35" s="113" t="e">
        <f>X35/T35*100</f>
        <v>#DIV/0!</v>
      </c>
    </row>
    <row r="36" spans="1:25" s="1" customFormat="1" ht="27.75" customHeight="1" hidden="1">
      <c r="A36" s="28" t="s">
        <v>130</v>
      </c>
      <c r="B36" s="29" t="s">
        <v>104</v>
      </c>
      <c r="C36" s="30" t="s">
        <v>13</v>
      </c>
      <c r="D36" s="36"/>
      <c r="E36" s="36"/>
      <c r="F36" s="62"/>
      <c r="G36" s="62"/>
      <c r="H36" s="62"/>
      <c r="I36" s="62"/>
      <c r="J36" s="62"/>
      <c r="K36" s="62" t="e">
        <f t="shared" si="2"/>
        <v>#DIV/0!</v>
      </c>
      <c r="L36" s="62"/>
      <c r="M36" s="62"/>
      <c r="N36" s="61"/>
      <c r="O36" s="61"/>
      <c r="P36" s="71"/>
      <c r="Q36" s="35"/>
      <c r="R36" s="35"/>
      <c r="S36" s="35"/>
      <c r="T36" s="35"/>
      <c r="U36" s="108"/>
      <c r="V36" s="60"/>
      <c r="W36" s="24"/>
      <c r="X36" s="60"/>
      <c r="Y36" s="24"/>
    </row>
    <row r="37" spans="1:25" s="1" customFormat="1" ht="27" customHeight="1" hidden="1">
      <c r="A37" s="28" t="s">
        <v>130</v>
      </c>
      <c r="B37" s="29" t="s">
        <v>14</v>
      </c>
      <c r="C37" s="30" t="s">
        <v>13</v>
      </c>
      <c r="D37" s="36"/>
      <c r="E37" s="36"/>
      <c r="F37" s="62">
        <v>5.9</v>
      </c>
      <c r="G37" s="62">
        <f>F37/2.4*100</f>
        <v>245.83333333333334</v>
      </c>
      <c r="H37" s="62">
        <v>7.6</v>
      </c>
      <c r="I37" s="62">
        <f>H37/4*100</f>
        <v>190</v>
      </c>
      <c r="J37" s="61"/>
      <c r="K37" s="61"/>
      <c r="L37" s="61"/>
      <c r="M37" s="61"/>
      <c r="N37" s="61"/>
      <c r="O37" s="61"/>
      <c r="P37" s="35"/>
      <c r="Q37" s="35"/>
      <c r="R37" s="35"/>
      <c r="S37" s="35"/>
      <c r="T37" s="35"/>
      <c r="U37" s="108"/>
      <c r="V37" s="60"/>
      <c r="W37" s="24"/>
      <c r="X37" s="60"/>
      <c r="Y37" s="24"/>
    </row>
    <row r="38" spans="1:25" s="1" customFormat="1" ht="25.5" customHeight="1" hidden="1">
      <c r="A38" s="28" t="s">
        <v>208</v>
      </c>
      <c r="B38" s="29" t="s">
        <v>216</v>
      </c>
      <c r="C38" s="30" t="s">
        <v>30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9"/>
      <c r="O38" s="39"/>
      <c r="P38" s="39"/>
      <c r="Q38" s="39"/>
      <c r="R38" s="39"/>
      <c r="S38" s="39"/>
      <c r="T38" s="39"/>
      <c r="U38" s="109"/>
      <c r="V38" s="60"/>
      <c r="W38" s="24"/>
      <c r="X38" s="60"/>
      <c r="Y38" s="24"/>
    </row>
    <row r="39" spans="1:25" s="1" customFormat="1" ht="25.5" customHeight="1" hidden="1">
      <c r="A39" s="28" t="s">
        <v>209</v>
      </c>
      <c r="B39" s="29" t="s">
        <v>215</v>
      </c>
      <c r="C39" s="30" t="s">
        <v>30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9"/>
      <c r="O39" s="39"/>
      <c r="P39" s="39"/>
      <c r="Q39" s="39"/>
      <c r="R39" s="39"/>
      <c r="S39" s="39"/>
      <c r="T39" s="39"/>
      <c r="U39" s="109"/>
      <c r="V39" s="60"/>
      <c r="W39" s="24"/>
      <c r="X39" s="60"/>
      <c r="Y39" s="24"/>
    </row>
    <row r="40" spans="1:25" s="1" customFormat="1" ht="27" customHeight="1" hidden="1">
      <c r="A40" s="28" t="s">
        <v>210</v>
      </c>
      <c r="B40" s="29" t="s">
        <v>217</v>
      </c>
      <c r="C40" s="30" t="s">
        <v>226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9"/>
      <c r="O40" s="39"/>
      <c r="P40" s="39"/>
      <c r="Q40" s="39"/>
      <c r="R40" s="39"/>
      <c r="S40" s="39"/>
      <c r="T40" s="39"/>
      <c r="U40" s="109"/>
      <c r="V40" s="60"/>
      <c r="W40" s="24"/>
      <c r="X40" s="60"/>
      <c r="Y40" s="24"/>
    </row>
    <row r="41" spans="1:25" s="1" customFormat="1" ht="25.5" customHeight="1" hidden="1">
      <c r="A41" s="28" t="s">
        <v>211</v>
      </c>
      <c r="B41" s="29" t="s">
        <v>219</v>
      </c>
      <c r="C41" s="30" t="s">
        <v>225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9"/>
      <c r="O41" s="39"/>
      <c r="P41" s="39"/>
      <c r="Q41" s="39"/>
      <c r="R41" s="39"/>
      <c r="S41" s="39"/>
      <c r="T41" s="39"/>
      <c r="U41" s="109"/>
      <c r="V41" s="60"/>
      <c r="W41" s="24"/>
      <c r="X41" s="60"/>
      <c r="Y41" s="24"/>
    </row>
    <row r="42" spans="1:25" s="1" customFormat="1" ht="22.5" customHeight="1" hidden="1">
      <c r="A42" s="28" t="s">
        <v>212</v>
      </c>
      <c r="B42" s="29" t="s">
        <v>218</v>
      </c>
      <c r="C42" s="30" t="s">
        <v>227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9"/>
      <c r="O42" s="39"/>
      <c r="P42" s="39"/>
      <c r="Q42" s="39"/>
      <c r="R42" s="39"/>
      <c r="S42" s="39"/>
      <c r="T42" s="39"/>
      <c r="U42" s="109"/>
      <c r="V42" s="60"/>
      <c r="W42" s="24"/>
      <c r="X42" s="60"/>
      <c r="Y42" s="24"/>
    </row>
    <row r="43" spans="1:25" s="1" customFormat="1" ht="27" customHeight="1" hidden="1">
      <c r="A43" s="28" t="s">
        <v>213</v>
      </c>
      <c r="B43" s="29" t="s">
        <v>220</v>
      </c>
      <c r="C43" s="30" t="s">
        <v>227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9"/>
      <c r="O43" s="39"/>
      <c r="P43" s="39"/>
      <c r="Q43" s="39"/>
      <c r="R43" s="39"/>
      <c r="S43" s="39"/>
      <c r="T43" s="39"/>
      <c r="U43" s="109"/>
      <c r="V43" s="60"/>
      <c r="W43" s="24"/>
      <c r="X43" s="60"/>
      <c r="Y43" s="24"/>
    </row>
    <row r="44" spans="1:25" s="1" customFormat="1" ht="25.5" customHeight="1" hidden="1">
      <c r="A44" s="28" t="s">
        <v>214</v>
      </c>
      <c r="B44" s="29" t="s">
        <v>221</v>
      </c>
      <c r="C44" s="30" t="s">
        <v>227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9"/>
      <c r="O44" s="39"/>
      <c r="P44" s="39"/>
      <c r="Q44" s="39"/>
      <c r="R44" s="39"/>
      <c r="S44" s="39"/>
      <c r="T44" s="39"/>
      <c r="U44" s="109"/>
      <c r="V44" s="60"/>
      <c r="W44" s="24"/>
      <c r="X44" s="60"/>
      <c r="Y44" s="24"/>
    </row>
    <row r="45" spans="1:25" s="1" customFormat="1" ht="49.5" customHeight="1" hidden="1">
      <c r="A45" s="28" t="s">
        <v>228</v>
      </c>
      <c r="B45" s="29" t="s">
        <v>222</v>
      </c>
      <c r="C45" s="30" t="s">
        <v>30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9"/>
      <c r="O45" s="39"/>
      <c r="P45" s="39"/>
      <c r="Q45" s="39"/>
      <c r="R45" s="39"/>
      <c r="S45" s="39"/>
      <c r="T45" s="39"/>
      <c r="U45" s="109"/>
      <c r="V45" s="60"/>
      <c r="W45" s="24"/>
      <c r="X45" s="60"/>
      <c r="Y45" s="24"/>
    </row>
    <row r="46" spans="1:25" s="1" customFormat="1" ht="24.75" customHeight="1">
      <c r="A46" s="170" t="s">
        <v>131</v>
      </c>
      <c r="B46" s="145" t="s">
        <v>76</v>
      </c>
      <c r="C46" s="14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9"/>
      <c r="O46" s="39"/>
      <c r="P46" s="39"/>
      <c r="Q46" s="39"/>
      <c r="R46" s="39"/>
      <c r="S46" s="39"/>
      <c r="T46" s="39"/>
      <c r="U46" s="109"/>
      <c r="V46" s="60"/>
      <c r="W46" s="24"/>
      <c r="X46" s="60"/>
      <c r="Y46" s="24"/>
    </row>
    <row r="47" spans="1:25" s="1" customFormat="1" ht="28.5" customHeight="1">
      <c r="A47" s="28"/>
      <c r="B47" s="29" t="s">
        <v>2</v>
      </c>
      <c r="C47" s="30" t="s">
        <v>15</v>
      </c>
      <c r="D47" s="36"/>
      <c r="E47" s="36" t="s">
        <v>90</v>
      </c>
      <c r="F47" s="33">
        <v>8620.2</v>
      </c>
      <c r="G47" s="33">
        <f>F47/9658*100</f>
        <v>89.25450403810314</v>
      </c>
      <c r="H47" s="33">
        <v>17486.208</v>
      </c>
      <c r="I47" s="33">
        <f>H47/14809.5*100</f>
        <v>118.07426314190215</v>
      </c>
      <c r="J47" s="35">
        <f>11899.955</f>
        <v>11899.955</v>
      </c>
      <c r="K47" s="33">
        <f>J47/F47*100</f>
        <v>138.04731908772416</v>
      </c>
      <c r="L47" s="35">
        <v>22347</v>
      </c>
      <c r="M47" s="33">
        <f>L47/H47*100</f>
        <v>127.7978621780091</v>
      </c>
      <c r="N47" s="178">
        <v>16.07</v>
      </c>
      <c r="O47" s="88">
        <f>N47/11445.337*100</f>
        <v>0.1404065253823457</v>
      </c>
      <c r="P47" s="179">
        <v>20.28</v>
      </c>
      <c r="Q47" s="89">
        <f>P47/22347*100</f>
        <v>0.09075043630017453</v>
      </c>
      <c r="R47" s="180">
        <v>3.87</v>
      </c>
      <c r="S47" s="90">
        <f>R47/N47*100</f>
        <v>24.082140634723086</v>
      </c>
      <c r="T47" s="63">
        <v>6.58</v>
      </c>
      <c r="U47" s="98">
        <f>T47/P47*100</f>
        <v>32.44575936883629</v>
      </c>
      <c r="V47" s="63">
        <v>21.14</v>
      </c>
      <c r="W47" s="98">
        <f>V47/R47*100</f>
        <v>546.2532299741601</v>
      </c>
      <c r="X47" s="42">
        <v>30.74</v>
      </c>
      <c r="Y47" s="98">
        <f>X47/T47*100</f>
        <v>467.1732522796352</v>
      </c>
    </row>
    <row r="48" spans="1:25" s="1" customFormat="1" ht="95.25" customHeight="1">
      <c r="A48" s="28" t="s">
        <v>132</v>
      </c>
      <c r="B48" s="91" t="s">
        <v>57</v>
      </c>
      <c r="C48" s="92" t="s">
        <v>61</v>
      </c>
      <c r="D48" s="36"/>
      <c r="E48" s="36" t="s">
        <v>90</v>
      </c>
      <c r="F48" s="33">
        <f>F47/9658*100/103.3*100</f>
        <v>86.40319848799916</v>
      </c>
      <c r="G48" s="36" t="s">
        <v>241</v>
      </c>
      <c r="H48" s="33">
        <f>H47/14809.5*100/103.3*100</f>
        <v>114.30228764946966</v>
      </c>
      <c r="I48" s="36" t="s">
        <v>241</v>
      </c>
      <c r="J48" s="35">
        <f>J47/F47*100/110.1*100</f>
        <v>125.38357773635256</v>
      </c>
      <c r="K48" s="36" t="s">
        <v>241</v>
      </c>
      <c r="L48" s="33">
        <f>L47/H47*100/103.3*100</f>
        <v>123.7152586427968</v>
      </c>
      <c r="M48" s="36" t="s">
        <v>241</v>
      </c>
      <c r="N48" s="34">
        <f>N47/11445.337*100/106.9*100</f>
        <v>0.131343802976937</v>
      </c>
      <c r="O48" s="93" t="s">
        <v>241</v>
      </c>
      <c r="P48" s="37">
        <f>P47/22347*100/106*100</f>
        <v>0.08561361915110804</v>
      </c>
      <c r="Q48" s="36" t="s">
        <v>241</v>
      </c>
      <c r="R48" s="94">
        <f>R47/N47*100/105*100</f>
        <v>22.935372033069605</v>
      </c>
      <c r="S48" s="94">
        <f>R48/N48*100</f>
        <v>17462.08919890715</v>
      </c>
      <c r="T48" s="35">
        <f>T47/P47*100/105.3*100</f>
        <v>30.81268695995849</v>
      </c>
      <c r="U48" s="7" t="s">
        <v>241</v>
      </c>
      <c r="V48" s="35">
        <f>V47/R47*100/104.5*100</f>
        <v>522.7303636116364</v>
      </c>
      <c r="W48" s="7" t="s">
        <v>241</v>
      </c>
      <c r="X48" s="35">
        <f>X47/T47*100/105.3*100</f>
        <v>443.6593089075358</v>
      </c>
      <c r="Y48" s="7" t="s">
        <v>241</v>
      </c>
    </row>
    <row r="49" spans="1:25" s="1" customFormat="1" ht="43.5" customHeight="1">
      <c r="A49" s="52" t="s">
        <v>133</v>
      </c>
      <c r="B49" s="158" t="s">
        <v>77</v>
      </c>
      <c r="C49" s="146"/>
      <c r="D49" s="36"/>
      <c r="E49" s="36"/>
      <c r="F49" s="36"/>
      <c r="G49" s="36"/>
      <c r="H49" s="36"/>
      <c r="I49" s="36"/>
      <c r="J49" s="39"/>
      <c r="K49" s="36"/>
      <c r="L49" s="39"/>
      <c r="M49" s="36"/>
      <c r="N49" s="39"/>
      <c r="O49" s="39"/>
      <c r="P49" s="95"/>
      <c r="Q49" s="39"/>
      <c r="R49" s="39"/>
      <c r="S49" s="39"/>
      <c r="T49" s="39"/>
      <c r="U49" s="109"/>
      <c r="V49" s="60"/>
      <c r="W49" s="24"/>
      <c r="X49" s="60"/>
      <c r="Y49" s="24"/>
    </row>
    <row r="50" spans="1:25" s="1" customFormat="1" ht="46.5">
      <c r="A50" s="28"/>
      <c r="B50" s="29" t="s">
        <v>2</v>
      </c>
      <c r="C50" s="30" t="s">
        <v>16</v>
      </c>
      <c r="D50" s="36"/>
      <c r="E50" s="36" t="s">
        <v>90</v>
      </c>
      <c r="F50" s="33">
        <v>125</v>
      </c>
      <c r="G50" s="33">
        <f>F50/2049*100</f>
        <v>6.100536847242558</v>
      </c>
      <c r="H50" s="33">
        <v>445.2289</v>
      </c>
      <c r="I50" s="33">
        <f>H50/2470.7*100</f>
        <v>18.02035455538916</v>
      </c>
      <c r="J50" s="35">
        <v>758.2</v>
      </c>
      <c r="K50" s="33">
        <f>J50/F50*100</f>
        <v>606.5600000000001</v>
      </c>
      <c r="L50" s="35">
        <v>912</v>
      </c>
      <c r="M50" s="33">
        <f>L50/H50*100</f>
        <v>204.83845500595314</v>
      </c>
      <c r="N50" s="34">
        <v>0</v>
      </c>
      <c r="O50" s="34">
        <f>N50/758.2*100</f>
        <v>0</v>
      </c>
      <c r="P50" s="96"/>
      <c r="Q50" s="37">
        <f>P50/912*100</f>
        <v>0</v>
      </c>
      <c r="R50" s="94"/>
      <c r="S50" s="94" t="e">
        <f>R50/N50*100</f>
        <v>#DIV/0!</v>
      </c>
      <c r="T50" s="97"/>
      <c r="U50" s="10" t="e">
        <f>T50/P50*100</f>
        <v>#DIV/0!</v>
      </c>
      <c r="V50" s="35"/>
      <c r="W50" s="10" t="e">
        <f>V50/R50*100</f>
        <v>#DIV/0!</v>
      </c>
      <c r="X50" s="35"/>
      <c r="Y50" s="10" t="e">
        <f>X50/T50*100</f>
        <v>#DIV/0!</v>
      </c>
    </row>
    <row r="51" spans="1:25" s="1" customFormat="1" ht="48.75" customHeight="1">
      <c r="A51" s="28" t="s">
        <v>134</v>
      </c>
      <c r="B51" s="91" t="s">
        <v>57</v>
      </c>
      <c r="C51" s="92" t="s">
        <v>239</v>
      </c>
      <c r="D51" s="36"/>
      <c r="E51" s="36" t="s">
        <v>90</v>
      </c>
      <c r="F51" s="33">
        <f>F50/2049*100/105.6*100</f>
        <v>5.7770235295857555</v>
      </c>
      <c r="G51" s="36" t="s">
        <v>241</v>
      </c>
      <c r="H51" s="33">
        <f>H50/2470.7*100/104.4*100</f>
        <v>17.260876010909158</v>
      </c>
      <c r="I51" s="36" t="s">
        <v>241</v>
      </c>
      <c r="J51" s="35">
        <f>J50/F50*100/106.9*100</f>
        <v>567.4087932647335</v>
      </c>
      <c r="K51" s="36" t="s">
        <v>241</v>
      </c>
      <c r="L51" s="35">
        <f>L50/H50*100/106.9*100</f>
        <v>191.61688962203286</v>
      </c>
      <c r="M51" s="36" t="s">
        <v>241</v>
      </c>
      <c r="N51" s="48">
        <f>N50/758.2*100/104.9*100</f>
        <v>0</v>
      </c>
      <c r="O51" s="93" t="s">
        <v>241</v>
      </c>
      <c r="P51" s="37">
        <f>P50/912*100/103.9*100</f>
        <v>0</v>
      </c>
      <c r="Q51" s="93" t="s">
        <v>241</v>
      </c>
      <c r="R51" s="94" t="e">
        <f>R50/N50*100/104.2*100</f>
        <v>#DIV/0!</v>
      </c>
      <c r="S51" s="93" t="s">
        <v>241</v>
      </c>
      <c r="T51" s="35" t="e">
        <f>T50/P50*100/104.2*100</f>
        <v>#DIV/0!</v>
      </c>
      <c r="U51" s="111" t="s">
        <v>241</v>
      </c>
      <c r="V51" s="35" t="e">
        <f>V50/R50*100/104.7*100</f>
        <v>#DIV/0!</v>
      </c>
      <c r="W51" s="111" t="s">
        <v>241</v>
      </c>
      <c r="X51" s="35" t="e">
        <f>X50/T50*100/104.7*100</f>
        <v>#DIV/0!</v>
      </c>
      <c r="Y51" s="111" t="s">
        <v>241</v>
      </c>
    </row>
    <row r="52" spans="1:25" s="105" customFormat="1" ht="27" customHeight="1">
      <c r="A52" s="102" t="s">
        <v>135</v>
      </c>
      <c r="B52" s="159" t="s">
        <v>78</v>
      </c>
      <c r="C52" s="160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0"/>
      <c r="O52" s="100"/>
      <c r="P52" s="100"/>
      <c r="Q52" s="100"/>
      <c r="R52" s="100"/>
      <c r="S52" s="100"/>
      <c r="T52" s="100"/>
      <c r="U52" s="103"/>
      <c r="V52" s="104"/>
      <c r="W52" s="104"/>
      <c r="X52" s="104"/>
      <c r="Y52" s="104"/>
    </row>
    <row r="53" spans="1:25" s="105" customFormat="1" ht="27" customHeight="1">
      <c r="A53" s="104"/>
      <c r="B53" s="115" t="s">
        <v>2</v>
      </c>
      <c r="C53" s="116" t="s">
        <v>16</v>
      </c>
      <c r="D53" s="101"/>
      <c r="E53" s="101" t="s">
        <v>90</v>
      </c>
      <c r="F53" s="101">
        <v>1853.386</v>
      </c>
      <c r="G53" s="101">
        <f>F53/1735.245*100</f>
        <v>106.80831813375057</v>
      </c>
      <c r="H53" s="101">
        <v>2647.9</v>
      </c>
      <c r="I53" s="101">
        <f>H53/2429.526*100</f>
        <v>108.98833764281592</v>
      </c>
      <c r="J53" s="101">
        <v>2100</v>
      </c>
      <c r="K53" s="101">
        <f>J53/F53*100</f>
        <v>113.30613266745297</v>
      </c>
      <c r="L53" s="101">
        <v>2771.56</v>
      </c>
      <c r="M53" s="101">
        <f>L53/H53*100</f>
        <v>104.67011594093432</v>
      </c>
      <c r="N53" s="100"/>
      <c r="O53" s="100">
        <f>N53/J53*100</f>
        <v>0</v>
      </c>
      <c r="P53" s="100"/>
      <c r="Q53" s="100">
        <f>P53/L53*100</f>
        <v>0</v>
      </c>
      <c r="R53" s="100">
        <v>0</v>
      </c>
      <c r="S53" s="100" t="e">
        <f>R53/N53*100</f>
        <v>#DIV/0!</v>
      </c>
      <c r="T53" s="100">
        <v>0</v>
      </c>
      <c r="U53" s="103" t="e">
        <f>T53/P53*100</f>
        <v>#DIV/0!</v>
      </c>
      <c r="V53" s="104">
        <v>0</v>
      </c>
      <c r="W53" s="103" t="e">
        <f>V53/R53*100</f>
        <v>#DIV/0!</v>
      </c>
      <c r="X53" s="104">
        <v>0</v>
      </c>
      <c r="Y53" s="100" t="e">
        <f>X53/T53*100</f>
        <v>#DIV/0!</v>
      </c>
    </row>
    <row r="54" spans="1:25" s="121" customFormat="1" ht="69.75">
      <c r="A54" s="100" t="s">
        <v>136</v>
      </c>
      <c r="B54" s="123" t="s">
        <v>57</v>
      </c>
      <c r="C54" s="124" t="s">
        <v>239</v>
      </c>
      <c r="D54" s="101"/>
      <c r="E54" s="101" t="s">
        <v>90</v>
      </c>
      <c r="F54" s="101">
        <f>F53/1526*100/106.36*100</f>
        <v>114.19129965886523</v>
      </c>
      <c r="G54" s="101" t="s">
        <v>241</v>
      </c>
      <c r="H54" s="101">
        <f>H53/1735.245*100/106.29*100</f>
        <v>143.56493242708788</v>
      </c>
      <c r="I54" s="101" t="s">
        <v>241</v>
      </c>
      <c r="J54" s="101">
        <f>J53/F53*100/107.8*100</f>
        <v>105.10772974717344</v>
      </c>
      <c r="K54" s="101" t="s">
        <v>241</v>
      </c>
      <c r="L54" s="101">
        <f>L53/H53*100/108.81*100</f>
        <v>96.19530920038078</v>
      </c>
      <c r="M54" s="101" t="s">
        <v>241</v>
      </c>
      <c r="N54" s="100">
        <f>N53/J53*100/108.81*100</f>
        <v>0</v>
      </c>
      <c r="O54" s="101" t="s">
        <v>241</v>
      </c>
      <c r="P54" s="100">
        <f>P53/L53*100/107.1*100</f>
        <v>0</v>
      </c>
      <c r="Q54" s="101" t="s">
        <v>241</v>
      </c>
      <c r="R54" s="100" t="e">
        <f>R53/N53*100/104*100</f>
        <v>#DIV/0!</v>
      </c>
      <c r="S54" s="101" t="s">
        <v>241</v>
      </c>
      <c r="T54" s="100" t="e">
        <f>T53/P53*100/103.7*100</f>
        <v>#DIV/0!</v>
      </c>
      <c r="U54" s="112" t="s">
        <v>241</v>
      </c>
      <c r="V54" s="100" t="e">
        <f>V53/R53*100/103.7*100</f>
        <v>#DIV/0!</v>
      </c>
      <c r="W54" s="100" t="s">
        <v>90</v>
      </c>
      <c r="X54" s="100" t="e">
        <f>X53/T53*100/102.6*100</f>
        <v>#DIV/0!</v>
      </c>
      <c r="Y54" s="100" t="s">
        <v>90</v>
      </c>
    </row>
    <row r="55" spans="1:25" s="121" customFormat="1" ht="27" customHeight="1">
      <c r="A55" s="120" t="s">
        <v>137</v>
      </c>
      <c r="B55" s="163" t="s">
        <v>79</v>
      </c>
      <c r="C55" s="164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0"/>
      <c r="O55" s="100"/>
      <c r="P55" s="100"/>
      <c r="Q55" s="100"/>
      <c r="R55" s="100"/>
      <c r="S55" s="100"/>
      <c r="T55" s="100"/>
      <c r="U55" s="103"/>
      <c r="V55" s="100"/>
      <c r="W55" s="100"/>
      <c r="X55" s="100"/>
      <c r="Y55" s="100"/>
    </row>
    <row r="56" spans="1:25" s="121" customFormat="1" ht="27" customHeight="1">
      <c r="A56" s="100"/>
      <c r="B56" s="122" t="s">
        <v>2</v>
      </c>
      <c r="C56" s="101" t="s">
        <v>16</v>
      </c>
      <c r="D56" s="101"/>
      <c r="E56" s="101" t="s">
        <v>90</v>
      </c>
      <c r="F56" s="101">
        <v>746.726</v>
      </c>
      <c r="G56" s="101">
        <f>F56/668.357*100</f>
        <v>111.7256196912728</v>
      </c>
      <c r="H56" s="101">
        <v>1002.73</v>
      </c>
      <c r="I56" s="101">
        <f>H56/943.73*100</f>
        <v>106.25178811736407</v>
      </c>
      <c r="J56" s="101">
        <v>805.46</v>
      </c>
      <c r="K56" s="101">
        <f>J56/F56*100</f>
        <v>107.86553568511074</v>
      </c>
      <c r="L56" s="101">
        <v>1080.95</v>
      </c>
      <c r="M56" s="101">
        <f>L56/H56*100</f>
        <v>107.80070407786741</v>
      </c>
      <c r="N56" s="171">
        <v>0.063</v>
      </c>
      <c r="O56" s="100">
        <f>N56/J56*100</f>
        <v>0.007821617460829836</v>
      </c>
      <c r="P56" s="171">
        <v>0.112</v>
      </c>
      <c r="Q56" s="100">
        <f>P56/L56*100</f>
        <v>0.010361256302326656</v>
      </c>
      <c r="R56" s="173">
        <v>0.0764</v>
      </c>
      <c r="S56" s="100">
        <f>R56/N56*100</f>
        <v>121.26984126984127</v>
      </c>
      <c r="T56" s="172">
        <v>0.111</v>
      </c>
      <c r="U56" s="103">
        <f>T56/P56*100</f>
        <v>99.10714285714286</v>
      </c>
      <c r="V56" s="171">
        <v>0.075</v>
      </c>
      <c r="W56" s="103">
        <f>V56/R56*100</f>
        <v>98.16753926701571</v>
      </c>
      <c r="X56" s="171">
        <v>0.115</v>
      </c>
      <c r="Y56" s="100">
        <f>X56/T56*100</f>
        <v>103.60360360360362</v>
      </c>
    </row>
    <row r="57" spans="1:25" s="121" customFormat="1" ht="69.75">
      <c r="A57" s="100" t="s">
        <v>138</v>
      </c>
      <c r="B57" s="123" t="s">
        <v>57</v>
      </c>
      <c r="C57" s="124" t="s">
        <v>239</v>
      </c>
      <c r="D57" s="101"/>
      <c r="E57" s="101" t="s">
        <v>90</v>
      </c>
      <c r="F57" s="101">
        <f>F56/668.357*100/106.36*100</f>
        <v>105.04477218058743</v>
      </c>
      <c r="G57" s="101" t="s">
        <v>241</v>
      </c>
      <c r="H57" s="101">
        <f>H56/668.357*100/106.29*100</f>
        <v>141.1507208710812</v>
      </c>
      <c r="I57" s="101" t="s">
        <v>241</v>
      </c>
      <c r="J57" s="101">
        <f>J56/F56*100/110.1*100</f>
        <v>97.97051379210785</v>
      </c>
      <c r="K57" s="101" t="s">
        <v>241</v>
      </c>
      <c r="L57" s="101">
        <f>L56/H56*100/108.33*100</f>
        <v>99.51140411508115</v>
      </c>
      <c r="M57" s="101" t="s">
        <v>241</v>
      </c>
      <c r="N57" s="100">
        <f>N56/J56*100/108.33*100</f>
        <v>0.007220176738511802</v>
      </c>
      <c r="O57" s="101" t="s">
        <v>241</v>
      </c>
      <c r="P57" s="100">
        <f>P56/L56*100/106*100</f>
        <v>0.009774770096534581</v>
      </c>
      <c r="Q57" s="101" t="s">
        <v>241</v>
      </c>
      <c r="R57" s="100">
        <f>R56/N56*100/103.3*100</f>
        <v>117.39578051291508</v>
      </c>
      <c r="S57" s="101" t="s">
        <v>241</v>
      </c>
      <c r="T57" s="100">
        <f>T56/P56*100/103*100</f>
        <v>96.22052704576977</v>
      </c>
      <c r="U57" s="112" t="s">
        <v>241</v>
      </c>
      <c r="V57" s="100">
        <f>V56/R56*100/103*100</f>
        <v>95.3082905505007</v>
      </c>
      <c r="W57" s="100"/>
      <c r="X57" s="100">
        <f>X56/T56*100/100.8*100</f>
        <v>102.78135278135278</v>
      </c>
      <c r="Y57" s="100" t="s">
        <v>90</v>
      </c>
    </row>
    <row r="58" spans="1:25" s="1" customFormat="1" ht="52.5" customHeight="1">
      <c r="A58" s="52" t="s">
        <v>139</v>
      </c>
      <c r="B58" s="165" t="s">
        <v>17</v>
      </c>
      <c r="C58" s="16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9"/>
      <c r="O58" s="39"/>
      <c r="P58" s="39"/>
      <c r="Q58" s="39"/>
      <c r="R58" s="39"/>
      <c r="S58" s="39"/>
      <c r="T58" s="39"/>
      <c r="U58" s="109"/>
      <c r="V58" s="60"/>
      <c r="W58" s="24"/>
      <c r="X58" s="60"/>
      <c r="Y58" s="24"/>
    </row>
    <row r="59" spans="1:25" s="1" customFormat="1" ht="26.25" customHeight="1">
      <c r="A59" s="28"/>
      <c r="B59" s="29" t="s">
        <v>2</v>
      </c>
      <c r="C59" s="30" t="s">
        <v>3</v>
      </c>
      <c r="D59" s="36"/>
      <c r="E59" s="36" t="s">
        <v>90</v>
      </c>
      <c r="F59" s="33">
        <v>42.495</v>
      </c>
      <c r="G59" s="33">
        <f>F59/33.3*100</f>
        <v>127.61261261261261</v>
      </c>
      <c r="H59" s="36">
        <v>56.188</v>
      </c>
      <c r="I59" s="33">
        <f>H59/53.2*100</f>
        <v>105.61654135338345</v>
      </c>
      <c r="J59" s="36">
        <v>52.349</v>
      </c>
      <c r="K59" s="33">
        <f>J59/F59*100</f>
        <v>123.18861042475586</v>
      </c>
      <c r="L59" s="36">
        <v>78.579</v>
      </c>
      <c r="M59" s="33">
        <f>L59/H59*100</f>
        <v>139.85014593863457</v>
      </c>
      <c r="N59" s="68"/>
      <c r="O59" s="35">
        <f>N59/J59*100</f>
        <v>0</v>
      </c>
      <c r="P59" s="35"/>
      <c r="Q59" s="35">
        <f>P59/L59*100</f>
        <v>0</v>
      </c>
      <c r="R59" s="68">
        <v>0</v>
      </c>
      <c r="S59" s="35" t="e">
        <f>R59/N59*100</f>
        <v>#DIV/0!</v>
      </c>
      <c r="T59" s="35">
        <v>0</v>
      </c>
      <c r="U59" s="108" t="e">
        <f>T59/P59*100</f>
        <v>#DIV/0!</v>
      </c>
      <c r="V59" s="63">
        <v>0</v>
      </c>
      <c r="W59" s="98" t="e">
        <f>V59/R59*100</f>
        <v>#DIV/0!</v>
      </c>
      <c r="X59" s="42"/>
      <c r="Y59" s="98" t="e">
        <f>X59/T59*100</f>
        <v>#DIV/0!</v>
      </c>
    </row>
    <row r="60" spans="1:25" s="1" customFormat="1" ht="69.75">
      <c r="A60" s="28" t="s">
        <v>140</v>
      </c>
      <c r="B60" s="29" t="s">
        <v>89</v>
      </c>
      <c r="C60" s="30" t="s">
        <v>59</v>
      </c>
      <c r="D60" s="36"/>
      <c r="E60" s="36" t="s">
        <v>90</v>
      </c>
      <c r="F60" s="33">
        <v>114.39</v>
      </c>
      <c r="G60" s="36" t="s">
        <v>242</v>
      </c>
      <c r="H60" s="36">
        <v>109.1</v>
      </c>
      <c r="I60" s="36" t="s">
        <v>242</v>
      </c>
      <c r="J60" s="36">
        <v>121.17</v>
      </c>
      <c r="K60" s="36" t="s">
        <v>242</v>
      </c>
      <c r="L60" s="36">
        <v>123.53</v>
      </c>
      <c r="M60" s="36" t="s">
        <v>242</v>
      </c>
      <c r="N60" s="39"/>
      <c r="O60" s="39" t="s">
        <v>242</v>
      </c>
      <c r="P60" s="39"/>
      <c r="Q60" s="39" t="s">
        <v>242</v>
      </c>
      <c r="R60" s="39"/>
      <c r="S60" s="39" t="s">
        <v>265</v>
      </c>
      <c r="T60" s="39"/>
      <c r="U60" s="109" t="s">
        <v>265</v>
      </c>
      <c r="V60" s="63"/>
      <c r="W60" s="114" t="s">
        <v>242</v>
      </c>
      <c r="X60" s="63"/>
      <c r="Y60" s="114" t="s">
        <v>242</v>
      </c>
    </row>
    <row r="61" spans="1:25" s="1" customFormat="1" ht="24" customHeight="1">
      <c r="A61" s="28" t="s">
        <v>141</v>
      </c>
      <c r="B61" s="29" t="s">
        <v>18</v>
      </c>
      <c r="C61" s="30" t="s">
        <v>19</v>
      </c>
      <c r="D61" s="36"/>
      <c r="E61" s="36"/>
      <c r="F61" s="70">
        <v>0.249</v>
      </c>
      <c r="G61" s="33">
        <f>F61/0.218*100</f>
        <v>114.22018348623853</v>
      </c>
      <c r="H61" s="70">
        <v>0.415</v>
      </c>
      <c r="I61" s="33">
        <f>H61/0.359*100</f>
        <v>115.59888579387187</v>
      </c>
      <c r="J61" s="70">
        <v>0.30545</v>
      </c>
      <c r="K61" s="33">
        <f>J61/F61*100</f>
        <v>122.6706827309237</v>
      </c>
      <c r="L61" s="70">
        <v>0.47363</v>
      </c>
      <c r="M61" s="36">
        <f>L61/H61*100</f>
        <v>114.12771084337349</v>
      </c>
      <c r="N61" s="71"/>
      <c r="O61" s="35"/>
      <c r="P61" s="39"/>
      <c r="Q61" s="35">
        <f>P61/L61*100</f>
        <v>0</v>
      </c>
      <c r="R61" s="71">
        <v>0.08</v>
      </c>
      <c r="S61" s="35" t="e">
        <f>R61/N61*100</f>
        <v>#DIV/0!</v>
      </c>
      <c r="T61" s="71">
        <v>0.1</v>
      </c>
      <c r="U61" s="108" t="e">
        <f>T61/P61*100</f>
        <v>#DIV/0!</v>
      </c>
      <c r="V61" s="69">
        <v>0.03</v>
      </c>
      <c r="W61" s="98">
        <f>V61/R61*100</f>
        <v>37.5</v>
      </c>
      <c r="X61" s="69">
        <v>0.05</v>
      </c>
      <c r="Y61" s="98">
        <f>X61/T61*100</f>
        <v>50</v>
      </c>
    </row>
    <row r="62" spans="1:25" s="1" customFormat="1" ht="27" customHeight="1">
      <c r="A62" s="28" t="s">
        <v>142</v>
      </c>
      <c r="B62" s="29" t="s">
        <v>20</v>
      </c>
      <c r="C62" s="30" t="s">
        <v>19</v>
      </c>
      <c r="D62" s="36"/>
      <c r="E62" s="36"/>
      <c r="F62" s="70">
        <v>0.312</v>
      </c>
      <c r="G62" s="33">
        <f>F62/0.275*100</f>
        <v>113.45454545454545</v>
      </c>
      <c r="H62" s="70">
        <v>0.379</v>
      </c>
      <c r="I62" s="33">
        <f>H62/0.343*100</f>
        <v>110.49562682215743</v>
      </c>
      <c r="J62" s="70">
        <v>0.31448</v>
      </c>
      <c r="K62" s="33">
        <f>J62/F62*100</f>
        <v>100.79487179487178</v>
      </c>
      <c r="L62" s="70">
        <v>0.42075</v>
      </c>
      <c r="M62" s="33">
        <f>L62/H62*100</f>
        <v>111.01583113456464</v>
      </c>
      <c r="N62" s="71">
        <v>0.055</v>
      </c>
      <c r="O62" s="35"/>
      <c r="P62" s="71">
        <v>0.074</v>
      </c>
      <c r="Q62" s="35">
        <f>P62/L62*100</f>
        <v>17.58764111705288</v>
      </c>
      <c r="R62" s="71">
        <v>0.054</v>
      </c>
      <c r="S62" s="35">
        <f>R62/N62*100</f>
        <v>98.18181818181819</v>
      </c>
      <c r="T62" s="71">
        <v>0.072</v>
      </c>
      <c r="U62" s="108">
        <f>T62/P62*100</f>
        <v>97.29729729729729</v>
      </c>
      <c r="V62" s="69">
        <v>0.09</v>
      </c>
      <c r="W62" s="98">
        <f>V62/R62*100</f>
        <v>166.66666666666666</v>
      </c>
      <c r="X62" s="69">
        <v>0.12</v>
      </c>
      <c r="Y62" s="98">
        <f>X62/T62*100</f>
        <v>166.66666666666669</v>
      </c>
    </row>
    <row r="63" spans="1:25" s="1" customFormat="1" ht="25.5" customHeight="1">
      <c r="A63" s="28" t="s">
        <v>143</v>
      </c>
      <c r="B63" s="29" t="s">
        <v>21</v>
      </c>
      <c r="C63" s="30" t="s">
        <v>22</v>
      </c>
      <c r="D63" s="36"/>
      <c r="E63" s="36"/>
      <c r="F63" s="70">
        <v>0.096</v>
      </c>
      <c r="G63" s="33">
        <f>F63/0.076*100</f>
        <v>126.31578947368422</v>
      </c>
      <c r="H63" s="36">
        <v>0.119</v>
      </c>
      <c r="I63" s="33">
        <f>H63/0.0929*100</f>
        <v>128.09472551130247</v>
      </c>
      <c r="J63" s="70">
        <v>0.23226</v>
      </c>
      <c r="K63" s="33">
        <f>J63/F63*100</f>
        <v>241.9375</v>
      </c>
      <c r="L63" s="70">
        <v>0.32724</v>
      </c>
      <c r="M63" s="33">
        <f>L63/H63*100</f>
        <v>274.99159663865544</v>
      </c>
      <c r="N63" s="71"/>
      <c r="O63" s="35"/>
      <c r="P63" s="71"/>
      <c r="Q63" s="35">
        <f>P63/L63*100</f>
        <v>0</v>
      </c>
      <c r="R63" s="71">
        <v>0</v>
      </c>
      <c r="S63" s="35" t="e">
        <f>R63/N63*100</f>
        <v>#DIV/0!</v>
      </c>
      <c r="T63" s="71">
        <v>0</v>
      </c>
      <c r="U63" s="108" t="e">
        <f>T63/P63*100</f>
        <v>#DIV/0!</v>
      </c>
      <c r="V63" s="69">
        <v>0.06766</v>
      </c>
      <c r="W63" s="98" t="e">
        <f>V63/R63*100</f>
        <v>#DIV/0!</v>
      </c>
      <c r="X63" s="69"/>
      <c r="Y63" s="98" t="e">
        <f>X63/T63*100</f>
        <v>#DIV/0!</v>
      </c>
    </row>
    <row r="64" spans="1:25" s="1" customFormat="1" ht="24.75" customHeight="1" hidden="1">
      <c r="A64" s="28" t="s">
        <v>144</v>
      </c>
      <c r="B64" s="29" t="s">
        <v>23</v>
      </c>
      <c r="C64" s="30" t="s">
        <v>19</v>
      </c>
      <c r="D64" s="36"/>
      <c r="E64" s="36"/>
      <c r="F64" s="70">
        <v>0.03</v>
      </c>
      <c r="G64" s="33">
        <v>75</v>
      </c>
      <c r="H64" s="70">
        <v>0.0278</v>
      </c>
      <c r="I64" s="36">
        <v>66.5</v>
      </c>
      <c r="J64" s="33">
        <v>0</v>
      </c>
      <c r="K64" s="33">
        <v>0</v>
      </c>
      <c r="L64" s="33">
        <v>0</v>
      </c>
      <c r="M64" s="33">
        <v>0</v>
      </c>
      <c r="N64" s="71">
        <v>0.02756</v>
      </c>
      <c r="O64" s="35"/>
      <c r="P64" s="72">
        <v>0.07838</v>
      </c>
      <c r="Q64" s="35">
        <v>100</v>
      </c>
      <c r="R64" s="35"/>
      <c r="S64" s="35"/>
      <c r="T64" s="35"/>
      <c r="U64" s="108"/>
      <c r="V64" s="69"/>
      <c r="W64" s="98"/>
      <c r="X64" s="69"/>
      <c r="Y64" s="98"/>
    </row>
    <row r="65" spans="1:25" s="1" customFormat="1" ht="23.25" customHeight="1" hidden="1">
      <c r="A65" s="28" t="s">
        <v>145</v>
      </c>
      <c r="B65" s="29" t="s">
        <v>24</v>
      </c>
      <c r="C65" s="30" t="s">
        <v>19</v>
      </c>
      <c r="D65" s="36"/>
      <c r="E65" s="36"/>
      <c r="F65" s="73">
        <v>0.0002</v>
      </c>
      <c r="G65" s="33">
        <v>100</v>
      </c>
      <c r="H65" s="36">
        <v>0.0002</v>
      </c>
      <c r="I65" s="36">
        <v>7.4</v>
      </c>
      <c r="J65" s="33">
        <v>0</v>
      </c>
      <c r="K65" s="33">
        <v>0</v>
      </c>
      <c r="L65" s="33">
        <v>0</v>
      </c>
      <c r="M65" s="33">
        <v>0</v>
      </c>
      <c r="N65" s="72">
        <v>0.00209</v>
      </c>
      <c r="O65" s="35"/>
      <c r="P65" s="72">
        <v>0.00509</v>
      </c>
      <c r="Q65" s="35">
        <v>100</v>
      </c>
      <c r="R65" s="35"/>
      <c r="S65" s="35"/>
      <c r="T65" s="35"/>
      <c r="U65" s="108"/>
      <c r="V65" s="69"/>
      <c r="W65" s="98"/>
      <c r="X65" s="69"/>
      <c r="Y65" s="98"/>
    </row>
    <row r="66" spans="1:25" s="1" customFormat="1" ht="24" customHeight="1">
      <c r="A66" s="28" t="s">
        <v>146</v>
      </c>
      <c r="B66" s="29" t="s">
        <v>25</v>
      </c>
      <c r="C66" s="30" t="s">
        <v>26</v>
      </c>
      <c r="D66" s="36"/>
      <c r="E66" s="36"/>
      <c r="F66" s="70">
        <v>6.931</v>
      </c>
      <c r="G66" s="33">
        <f>F66/5.748*100</f>
        <v>120.58107167710507</v>
      </c>
      <c r="H66" s="36">
        <v>5.643</v>
      </c>
      <c r="I66" s="33">
        <f>H66/5.148*100</f>
        <v>109.61538461538463</v>
      </c>
      <c r="J66" s="70">
        <v>5.36</v>
      </c>
      <c r="K66" s="33">
        <f>J66/F66*100</f>
        <v>77.3337180781994</v>
      </c>
      <c r="L66" s="36">
        <v>4.881</v>
      </c>
      <c r="M66" s="33">
        <f>L66/H66*100</f>
        <v>86.49654439128123</v>
      </c>
      <c r="N66" s="71">
        <v>0.072</v>
      </c>
      <c r="O66" s="35"/>
      <c r="P66" s="39">
        <v>0.097</v>
      </c>
      <c r="Q66" s="35">
        <f>P66/L66*100</f>
        <v>1.9872976849006352</v>
      </c>
      <c r="R66" s="71">
        <v>0.076</v>
      </c>
      <c r="S66" s="35">
        <f>R66/N66*100</f>
        <v>105.55555555555556</v>
      </c>
      <c r="T66" s="71">
        <v>0.1</v>
      </c>
      <c r="U66" s="108">
        <f>T66/P66*100</f>
        <v>103.09278350515466</v>
      </c>
      <c r="V66" s="69">
        <v>0.106</v>
      </c>
      <c r="W66" s="98">
        <f>V66/R66*100</f>
        <v>139.4736842105263</v>
      </c>
      <c r="X66" s="69">
        <v>0.142</v>
      </c>
      <c r="Y66" s="98">
        <f>X66/T66*100</f>
        <v>141.99999999999997</v>
      </c>
    </row>
    <row r="67" spans="1:25" ht="24" customHeight="1" hidden="1">
      <c r="A67" s="19" t="s">
        <v>147</v>
      </c>
      <c r="B67" s="167" t="s">
        <v>70</v>
      </c>
      <c r="C67" s="168"/>
      <c r="D67" s="7"/>
      <c r="E67" s="7"/>
      <c r="F67" s="7"/>
      <c r="G67" s="7"/>
      <c r="H67" s="7"/>
      <c r="I67" s="7"/>
      <c r="J67" s="7"/>
      <c r="K67" s="7"/>
      <c r="L67" s="7"/>
      <c r="M67" s="7"/>
      <c r="N67" s="8"/>
      <c r="O67" s="8"/>
      <c r="P67" s="8"/>
      <c r="Q67" s="20"/>
      <c r="R67" s="20"/>
      <c r="S67" s="20"/>
      <c r="T67" s="20"/>
      <c r="U67" s="109"/>
      <c r="V67" s="27"/>
      <c r="W67" s="26"/>
      <c r="X67" s="26"/>
      <c r="Y67" s="26"/>
    </row>
    <row r="68" spans="1:25" ht="22.5" customHeight="1" hidden="1">
      <c r="A68" s="21" t="s">
        <v>148</v>
      </c>
      <c r="B68" s="22" t="s">
        <v>63</v>
      </c>
      <c r="C68" s="23" t="s">
        <v>65</v>
      </c>
      <c r="D68" s="7"/>
      <c r="E68" s="7"/>
      <c r="F68" s="9">
        <v>60</v>
      </c>
      <c r="G68" s="9">
        <f>F68/55.93*100</f>
        <v>107.27695333452529</v>
      </c>
      <c r="H68" s="9">
        <v>84</v>
      </c>
      <c r="I68" s="9">
        <f>H68/81.07*100</f>
        <v>103.61416060194895</v>
      </c>
      <c r="J68" s="10">
        <v>83.5</v>
      </c>
      <c r="K68" s="10">
        <f>J68/F68*100</f>
        <v>139.16666666666666</v>
      </c>
      <c r="L68" s="8">
        <v>98.5</v>
      </c>
      <c r="M68" s="10">
        <f>L68/H68*100</f>
        <v>117.26190476190477</v>
      </c>
      <c r="N68" s="8">
        <v>87.2</v>
      </c>
      <c r="O68" s="10">
        <f>N68/J68*100</f>
        <v>104.43113772455091</v>
      </c>
      <c r="P68" s="10">
        <v>116.3</v>
      </c>
      <c r="Q68" s="18">
        <f>P68/L68*100</f>
        <v>118.07106598984771</v>
      </c>
      <c r="R68" s="18"/>
      <c r="S68" s="18"/>
      <c r="T68" s="18"/>
      <c r="U68" s="108"/>
      <c r="V68" s="27"/>
      <c r="W68" s="26"/>
      <c r="X68" s="26"/>
      <c r="Y68" s="26"/>
    </row>
    <row r="69" spans="1:25" ht="54" customHeight="1" hidden="1">
      <c r="A69" s="21" t="s">
        <v>149</v>
      </c>
      <c r="B69" s="22" t="s">
        <v>73</v>
      </c>
      <c r="C69" s="23" t="s">
        <v>65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8"/>
      <c r="O69" s="8"/>
      <c r="P69" s="8"/>
      <c r="Q69" s="20"/>
      <c r="R69" s="20"/>
      <c r="S69" s="20"/>
      <c r="T69" s="20"/>
      <c r="U69" s="109"/>
      <c r="V69" s="27"/>
      <c r="W69" s="26"/>
      <c r="X69" s="26"/>
      <c r="Y69" s="26"/>
    </row>
    <row r="70" spans="1:25" ht="24.75" customHeight="1" hidden="1">
      <c r="A70" s="21" t="s">
        <v>150</v>
      </c>
      <c r="B70" s="22" t="s">
        <v>64</v>
      </c>
      <c r="C70" s="23" t="s">
        <v>65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8"/>
      <c r="O70" s="8"/>
      <c r="P70" s="8"/>
      <c r="Q70" s="20"/>
      <c r="R70" s="20"/>
      <c r="S70" s="20"/>
      <c r="T70" s="20"/>
      <c r="U70" s="109"/>
      <c r="V70" s="27"/>
      <c r="W70" s="26"/>
      <c r="X70" s="26"/>
      <c r="Y70" s="26"/>
    </row>
    <row r="71" spans="1:25" s="1" customFormat="1" ht="26.25" customHeight="1">
      <c r="A71" s="52" t="s">
        <v>151</v>
      </c>
      <c r="B71" s="158" t="s">
        <v>69</v>
      </c>
      <c r="C71" s="14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9"/>
      <c r="O71" s="39"/>
      <c r="P71" s="39"/>
      <c r="Q71" s="39"/>
      <c r="R71" s="39"/>
      <c r="S71" s="39"/>
      <c r="T71" s="39"/>
      <c r="U71" s="109"/>
      <c r="V71" s="53"/>
      <c r="W71" s="26"/>
      <c r="X71" s="53"/>
      <c r="Y71" s="26"/>
    </row>
    <row r="72" spans="1:25" s="1" customFormat="1" ht="55.5" customHeight="1">
      <c r="A72" s="28" t="s">
        <v>152</v>
      </c>
      <c r="B72" s="54" t="s">
        <v>235</v>
      </c>
      <c r="C72" s="55" t="s">
        <v>51</v>
      </c>
      <c r="D72" s="36"/>
      <c r="E72" s="36"/>
      <c r="F72" s="36">
        <v>5</v>
      </c>
      <c r="G72" s="36">
        <f>F72/5*100</f>
        <v>100</v>
      </c>
      <c r="H72" s="36">
        <v>5</v>
      </c>
      <c r="I72" s="36">
        <f>H72/5*100</f>
        <v>100</v>
      </c>
      <c r="J72" s="39">
        <v>2</v>
      </c>
      <c r="K72" s="36">
        <f>J72/5*100</f>
        <v>40</v>
      </c>
      <c r="L72" s="56">
        <v>2</v>
      </c>
      <c r="M72" s="35">
        <f>L72/H72*100</f>
        <v>40</v>
      </c>
      <c r="N72" s="57"/>
      <c r="O72" s="58">
        <f>N72/2*100</f>
        <v>0</v>
      </c>
      <c r="P72" s="45">
        <v>0</v>
      </c>
      <c r="Q72" s="44">
        <f>P72/2*100</f>
        <v>0</v>
      </c>
      <c r="R72" s="59"/>
      <c r="S72" s="59" t="e">
        <f>R72/N72*100</f>
        <v>#DIV/0!</v>
      </c>
      <c r="T72" s="39"/>
      <c r="U72" s="10" t="e">
        <f>T72/P72*100</f>
        <v>#DIV/0!</v>
      </c>
      <c r="V72" s="39"/>
      <c r="W72" s="10" t="e">
        <f>V72/R72*100</f>
        <v>#DIV/0!</v>
      </c>
      <c r="X72" s="39"/>
      <c r="Y72" s="10" t="e">
        <f>X72/T72*100</f>
        <v>#DIV/0!</v>
      </c>
    </row>
    <row r="73" spans="1:25" s="1" customFormat="1" ht="100.5" customHeight="1">
      <c r="A73" s="28" t="s">
        <v>153</v>
      </c>
      <c r="B73" s="54" t="s">
        <v>236</v>
      </c>
      <c r="C73" s="55" t="s">
        <v>51</v>
      </c>
      <c r="D73" s="36"/>
      <c r="E73" s="36"/>
      <c r="F73" s="36">
        <v>18</v>
      </c>
      <c r="G73" s="33">
        <f>F73/19*100</f>
        <v>94.73684210526315</v>
      </c>
      <c r="H73" s="36">
        <v>18</v>
      </c>
      <c r="I73" s="33">
        <f>H73/19*100</f>
        <v>94.73684210526315</v>
      </c>
      <c r="J73" s="39">
        <v>18</v>
      </c>
      <c r="K73" s="39">
        <f>J73/F73*100</f>
        <v>100</v>
      </c>
      <c r="L73" s="56">
        <v>18</v>
      </c>
      <c r="M73" s="35">
        <f>L73/H73*100</f>
        <v>100</v>
      </c>
      <c r="N73" s="57">
        <v>2</v>
      </c>
      <c r="O73" s="58">
        <f>N73/18*100</f>
        <v>11.11111111111111</v>
      </c>
      <c r="P73" s="144">
        <v>2</v>
      </c>
      <c r="Q73" s="44">
        <f>P73/18*100</f>
        <v>11.11111111111111</v>
      </c>
      <c r="R73" s="59">
        <v>2</v>
      </c>
      <c r="S73" s="59">
        <f>R73/N73*100</f>
        <v>100</v>
      </c>
      <c r="T73" s="39">
        <v>2</v>
      </c>
      <c r="U73" s="10">
        <f>T73/P73*100</f>
        <v>100</v>
      </c>
      <c r="V73" s="39">
        <v>2</v>
      </c>
      <c r="W73" s="10">
        <f>V73/R73*100</f>
        <v>100</v>
      </c>
      <c r="X73" s="39">
        <v>2</v>
      </c>
      <c r="Y73" s="10">
        <f>X73/T73*100</f>
        <v>100</v>
      </c>
    </row>
    <row r="74" spans="1:25" s="1" customFormat="1" ht="58.5" customHeight="1">
      <c r="A74" s="28" t="s">
        <v>154</v>
      </c>
      <c r="B74" s="54" t="s">
        <v>237</v>
      </c>
      <c r="C74" s="30" t="s">
        <v>51</v>
      </c>
      <c r="D74" s="36"/>
      <c r="E74" s="36"/>
      <c r="F74" s="36">
        <v>3</v>
      </c>
      <c r="G74" s="36">
        <f>F74/4*100</f>
        <v>75</v>
      </c>
      <c r="H74" s="36">
        <v>3</v>
      </c>
      <c r="I74" s="36">
        <f>H74/3*100</f>
        <v>100</v>
      </c>
      <c r="J74" s="39">
        <v>3</v>
      </c>
      <c r="K74" s="39">
        <f>J74/F74*100</f>
        <v>100</v>
      </c>
      <c r="L74" s="56">
        <v>3</v>
      </c>
      <c r="M74" s="35">
        <f>L74/H74*100</f>
        <v>100</v>
      </c>
      <c r="N74" s="57">
        <v>0</v>
      </c>
      <c r="O74" s="58">
        <f>N74/1*100</f>
        <v>0</v>
      </c>
      <c r="P74" s="45">
        <v>0</v>
      </c>
      <c r="Q74" s="44">
        <f>P74/1*100</f>
        <v>0</v>
      </c>
      <c r="R74" s="59">
        <v>0</v>
      </c>
      <c r="S74" s="59" t="e">
        <f>R74/N74*100</f>
        <v>#DIV/0!</v>
      </c>
      <c r="T74" s="39">
        <v>0</v>
      </c>
      <c r="U74" s="10" t="e">
        <f>T74/P74*100</f>
        <v>#DIV/0!</v>
      </c>
      <c r="V74" s="39">
        <v>0</v>
      </c>
      <c r="W74" s="10" t="e">
        <f>V74/R74*100</f>
        <v>#DIV/0!</v>
      </c>
      <c r="X74" s="39">
        <v>0</v>
      </c>
      <c r="Y74" s="10" t="e">
        <f>X74/T74*100</f>
        <v>#DIV/0!</v>
      </c>
    </row>
    <row r="75" spans="1:25" s="1" customFormat="1" ht="50.25" customHeight="1">
      <c r="A75" s="28" t="s">
        <v>155</v>
      </c>
      <c r="B75" s="29" t="s">
        <v>243</v>
      </c>
      <c r="C75" s="30" t="s">
        <v>51</v>
      </c>
      <c r="D75" s="36"/>
      <c r="E75" s="36"/>
      <c r="F75" s="36">
        <v>17</v>
      </c>
      <c r="G75" s="36">
        <f>F75/17*100</f>
        <v>100</v>
      </c>
      <c r="H75" s="36">
        <v>17</v>
      </c>
      <c r="I75" s="36">
        <v>100</v>
      </c>
      <c r="J75" s="39">
        <v>14</v>
      </c>
      <c r="K75" s="39">
        <v>88</v>
      </c>
      <c r="L75" s="56">
        <v>14</v>
      </c>
      <c r="M75" s="35">
        <f>L75/H75*100</f>
        <v>82.35294117647058</v>
      </c>
      <c r="N75" s="57">
        <v>2</v>
      </c>
      <c r="O75" s="58">
        <v>100</v>
      </c>
      <c r="P75" s="45">
        <v>2</v>
      </c>
      <c r="Q75" s="44">
        <v>100</v>
      </c>
      <c r="R75" s="59">
        <v>0</v>
      </c>
      <c r="S75" s="59">
        <f>R75/N75*100</f>
        <v>0</v>
      </c>
      <c r="T75" s="39">
        <v>0</v>
      </c>
      <c r="U75" s="10">
        <f>T75/P75*100</f>
        <v>0</v>
      </c>
      <c r="V75" s="39">
        <v>0</v>
      </c>
      <c r="W75" s="10" t="e">
        <f>V75/R75*100</f>
        <v>#DIV/0!</v>
      </c>
      <c r="X75" s="39">
        <v>0</v>
      </c>
      <c r="Y75" s="10" t="e">
        <f>X75/T75*100</f>
        <v>#DIV/0!</v>
      </c>
    </row>
    <row r="76" spans="1:25" s="1" customFormat="1" ht="23.25">
      <c r="A76" s="52" t="s">
        <v>156</v>
      </c>
      <c r="B76" s="145" t="s">
        <v>27</v>
      </c>
      <c r="C76" s="14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9"/>
      <c r="O76" s="39"/>
      <c r="P76" s="39"/>
      <c r="Q76" s="39"/>
      <c r="R76" s="39"/>
      <c r="S76" s="39"/>
      <c r="T76" s="39"/>
      <c r="U76" s="109"/>
      <c r="V76" s="60"/>
      <c r="W76" s="24"/>
      <c r="X76" s="60"/>
      <c r="Y76" s="24"/>
    </row>
    <row r="77" spans="1:25" s="1" customFormat="1" ht="51" customHeight="1">
      <c r="A77" s="28" t="s">
        <v>157</v>
      </c>
      <c r="B77" s="29" t="s">
        <v>28</v>
      </c>
      <c r="C77" s="30" t="s">
        <v>16</v>
      </c>
      <c r="D77" s="36"/>
      <c r="E77" s="36"/>
      <c r="F77" s="61">
        <v>2751.6</v>
      </c>
      <c r="G77" s="61">
        <f>F77/3050.2*100</f>
        <v>90.21047800144252</v>
      </c>
      <c r="H77" s="42">
        <v>3991.3</v>
      </c>
      <c r="I77" s="33">
        <f>H77/4326.8*100</f>
        <v>92.24600166404733</v>
      </c>
      <c r="J77" s="36">
        <v>3048.2</v>
      </c>
      <c r="K77" s="33">
        <f>J77/F77*100</f>
        <v>110.77918302078791</v>
      </c>
      <c r="L77" s="42">
        <v>4300.8</v>
      </c>
      <c r="M77" s="33">
        <f>L77/H77*100</f>
        <v>107.75436574549646</v>
      </c>
      <c r="N77" s="176">
        <v>23.25</v>
      </c>
      <c r="O77" s="42">
        <f>N77/J77*100</f>
        <v>0.7627452266911621</v>
      </c>
      <c r="P77" s="63">
        <v>34.97</v>
      </c>
      <c r="Q77" s="42">
        <f>P77/L77*100</f>
        <v>0.8131045386904762</v>
      </c>
      <c r="R77" s="63">
        <v>23.46</v>
      </c>
      <c r="S77" s="61">
        <f>R77/N77*100</f>
        <v>100.90322580645162</v>
      </c>
      <c r="T77" s="174">
        <v>41.36</v>
      </c>
      <c r="U77" s="103">
        <f>T77/P77*100</f>
        <v>118.27280526165285</v>
      </c>
      <c r="V77" s="174">
        <v>28.05</v>
      </c>
      <c r="W77" s="100">
        <f>V77/R77*100</f>
        <v>119.56521739130434</v>
      </c>
      <c r="X77" s="174">
        <v>42.24</v>
      </c>
      <c r="Y77" s="100"/>
    </row>
    <row r="78" spans="1:25" s="1" customFormat="1" ht="72" customHeight="1">
      <c r="A78" s="28" t="s">
        <v>158</v>
      </c>
      <c r="B78" s="29" t="s">
        <v>66</v>
      </c>
      <c r="C78" s="30" t="s">
        <v>16</v>
      </c>
      <c r="D78" s="36"/>
      <c r="E78" s="36"/>
      <c r="F78" s="61">
        <v>2238.1</v>
      </c>
      <c r="G78" s="61">
        <f>F78/2469.3*100</f>
        <v>90.63702263799456</v>
      </c>
      <c r="H78" s="42">
        <v>3134.6</v>
      </c>
      <c r="I78" s="33">
        <f>H78/3360.4*100</f>
        <v>93.28056183787645</v>
      </c>
      <c r="J78" s="36">
        <v>2471.2</v>
      </c>
      <c r="K78" s="33">
        <f aca="true" t="shared" si="3" ref="K78:K84">J78/F78*100</f>
        <v>110.41508422322505</v>
      </c>
      <c r="L78" s="42">
        <v>3503.7</v>
      </c>
      <c r="M78" s="33">
        <f>L78/H78*100</f>
        <v>111.77502711669752</v>
      </c>
      <c r="N78" s="176">
        <v>20.79</v>
      </c>
      <c r="O78" s="42">
        <f aca="true" t="shared" si="4" ref="O78:O84">N78/J78*100</f>
        <v>0.8412916801553901</v>
      </c>
      <c r="P78" s="42">
        <v>31.7</v>
      </c>
      <c r="Q78" s="42">
        <f aca="true" t="shared" si="5" ref="Q78:Q84">P78/L78*100</f>
        <v>0.9047578274395639</v>
      </c>
      <c r="R78" s="63">
        <v>19.2</v>
      </c>
      <c r="S78" s="61">
        <f>R78/N78*100</f>
        <v>92.35209235209236</v>
      </c>
      <c r="T78" s="174">
        <v>35.93</v>
      </c>
      <c r="U78" s="103">
        <f>T78/P78*100</f>
        <v>113.34384858044164</v>
      </c>
      <c r="V78" s="174">
        <v>24.17</v>
      </c>
      <c r="W78" s="100">
        <f>V78/R78*100</f>
        <v>125.88541666666669</v>
      </c>
      <c r="X78" s="174">
        <v>37.33</v>
      </c>
      <c r="Y78" s="100"/>
    </row>
    <row r="79" spans="1:25" s="1" customFormat="1" ht="27" customHeight="1">
      <c r="A79" s="28" t="s">
        <v>159</v>
      </c>
      <c r="B79" s="29" t="s">
        <v>29</v>
      </c>
      <c r="C79" s="30" t="s">
        <v>16</v>
      </c>
      <c r="D79" s="36"/>
      <c r="E79" s="36"/>
      <c r="F79" s="61">
        <v>2740.8</v>
      </c>
      <c r="G79" s="61">
        <f>F79/2996.7*100</f>
        <v>91.46060666733408</v>
      </c>
      <c r="H79" s="42">
        <v>4348.5</v>
      </c>
      <c r="I79" s="33">
        <f>H79/4632.3*100</f>
        <v>93.87345379185285</v>
      </c>
      <c r="J79" s="33">
        <v>2721.8</v>
      </c>
      <c r="K79" s="33">
        <f t="shared" si="3"/>
        <v>99.30677174547577</v>
      </c>
      <c r="L79" s="42">
        <v>4270.1</v>
      </c>
      <c r="M79" s="33">
        <f>L79/H79*100</f>
        <v>98.19707945268485</v>
      </c>
      <c r="N79" s="176">
        <v>22.48</v>
      </c>
      <c r="O79" s="42">
        <f t="shared" si="4"/>
        <v>0.8259240208685428</v>
      </c>
      <c r="P79" s="42">
        <v>34.8</v>
      </c>
      <c r="Q79" s="42">
        <f t="shared" si="5"/>
        <v>0.8149692044682793</v>
      </c>
      <c r="R79" s="63">
        <v>23.48</v>
      </c>
      <c r="S79" s="61">
        <f>R79/N79*100</f>
        <v>104.44839857651245</v>
      </c>
      <c r="T79" s="174">
        <v>42.48</v>
      </c>
      <c r="U79" s="103">
        <f>T79/P79*100</f>
        <v>122.06896551724138</v>
      </c>
      <c r="V79" s="174">
        <v>25.36</v>
      </c>
      <c r="W79" s="100">
        <f>V79/R79*100</f>
        <v>108.0068143100511</v>
      </c>
      <c r="X79" s="174">
        <v>34.06</v>
      </c>
      <c r="Y79" s="100"/>
    </row>
    <row r="80" spans="1:25" s="1" customFormat="1" ht="30" customHeight="1" hidden="1">
      <c r="A80" s="28" t="s">
        <v>160</v>
      </c>
      <c r="B80" s="29" t="s">
        <v>45</v>
      </c>
      <c r="C80" s="30" t="s">
        <v>16</v>
      </c>
      <c r="D80" s="36"/>
      <c r="E80" s="36"/>
      <c r="F80" s="62">
        <v>54.4</v>
      </c>
      <c r="G80" s="62">
        <v>36.5</v>
      </c>
      <c r="H80" s="42">
        <v>58.6</v>
      </c>
      <c r="I80" s="33">
        <v>91</v>
      </c>
      <c r="J80" s="36">
        <v>63.6</v>
      </c>
      <c r="K80" s="33">
        <f t="shared" si="3"/>
        <v>116.91176470588236</v>
      </c>
      <c r="L80" s="35">
        <v>108</v>
      </c>
      <c r="M80" s="36">
        <v>184.3</v>
      </c>
      <c r="N80" s="35">
        <v>385.1</v>
      </c>
      <c r="O80" s="35">
        <f>N80/J80*100</f>
        <v>605.503144654088</v>
      </c>
      <c r="P80" s="39">
        <f>L80*105.2%</f>
        <v>113.616</v>
      </c>
      <c r="Q80" s="39">
        <f t="shared" si="5"/>
        <v>105.2</v>
      </c>
      <c r="R80" s="39"/>
      <c r="S80" s="39"/>
      <c r="T80" s="39"/>
      <c r="U80" s="109"/>
      <c r="V80" s="60"/>
      <c r="W80" s="24"/>
      <c r="X80" s="60"/>
      <c r="Y80" s="24"/>
    </row>
    <row r="81" spans="1:25" s="1" customFormat="1" ht="24" customHeight="1" hidden="1">
      <c r="A81" s="28" t="s">
        <v>161</v>
      </c>
      <c r="B81" s="29" t="s">
        <v>46</v>
      </c>
      <c r="C81" s="30" t="s">
        <v>16</v>
      </c>
      <c r="D81" s="36"/>
      <c r="E81" s="36"/>
      <c r="F81" s="62">
        <v>2582.3</v>
      </c>
      <c r="G81" s="62">
        <v>96.9</v>
      </c>
      <c r="H81" s="42">
        <v>2603.1</v>
      </c>
      <c r="I81" s="36">
        <v>97.7</v>
      </c>
      <c r="J81" s="36">
        <v>2597.8</v>
      </c>
      <c r="K81" s="33">
        <f t="shared" si="3"/>
        <v>100.6002400960384</v>
      </c>
      <c r="L81" s="39">
        <v>2671.7</v>
      </c>
      <c r="M81" s="36">
        <v>102.6</v>
      </c>
      <c r="N81" s="39">
        <v>3944.6</v>
      </c>
      <c r="O81" s="35">
        <f>N81/J81*100</f>
        <v>151.84386788821308</v>
      </c>
      <c r="P81" s="63">
        <f>L81*105.5%</f>
        <v>2818.6434999999997</v>
      </c>
      <c r="Q81" s="35">
        <f t="shared" si="5"/>
        <v>105.5</v>
      </c>
      <c r="R81" s="35"/>
      <c r="S81" s="35"/>
      <c r="T81" s="35"/>
      <c r="U81" s="108"/>
      <c r="V81" s="60"/>
      <c r="W81" s="24"/>
      <c r="X81" s="60"/>
      <c r="Y81" s="24"/>
    </row>
    <row r="82" spans="1:25" s="1" customFormat="1" ht="26.25" customHeight="1" hidden="1">
      <c r="A82" s="28" t="s">
        <v>162</v>
      </c>
      <c r="B82" s="29" t="s">
        <v>103</v>
      </c>
      <c r="C82" s="30" t="s">
        <v>16</v>
      </c>
      <c r="D82" s="36"/>
      <c r="E82" s="36"/>
      <c r="F82" s="62">
        <v>305.2</v>
      </c>
      <c r="G82" s="62">
        <v>84.2</v>
      </c>
      <c r="H82" s="42">
        <v>326.5</v>
      </c>
      <c r="I82" s="36">
        <v>77.4</v>
      </c>
      <c r="J82" s="36">
        <v>234.1</v>
      </c>
      <c r="K82" s="33">
        <f t="shared" si="3"/>
        <v>76.7038007863696</v>
      </c>
      <c r="L82" s="39">
        <v>282.8</v>
      </c>
      <c r="M82" s="36">
        <v>86.6</v>
      </c>
      <c r="N82" s="39">
        <v>261</v>
      </c>
      <c r="O82" s="35">
        <f t="shared" si="4"/>
        <v>111.49081589064502</v>
      </c>
      <c r="P82" s="39">
        <v>242.06</v>
      </c>
      <c r="Q82" s="35">
        <f t="shared" si="5"/>
        <v>85.5940594059406</v>
      </c>
      <c r="R82" s="35"/>
      <c r="S82" s="35"/>
      <c r="T82" s="35"/>
      <c r="U82" s="108"/>
      <c r="V82" s="60"/>
      <c r="W82" s="24"/>
      <c r="X82" s="60"/>
      <c r="Y82" s="24"/>
    </row>
    <row r="83" spans="1:25" s="1" customFormat="1" ht="27" customHeight="1" hidden="1">
      <c r="A83" s="28" t="s">
        <v>163</v>
      </c>
      <c r="B83" s="29" t="s">
        <v>47</v>
      </c>
      <c r="C83" s="30" t="s">
        <v>16</v>
      </c>
      <c r="D83" s="36"/>
      <c r="E83" s="36"/>
      <c r="F83" s="62">
        <v>1842.1</v>
      </c>
      <c r="G83" s="62">
        <v>69.8</v>
      </c>
      <c r="H83" s="42">
        <v>2064.3</v>
      </c>
      <c r="I83" s="36">
        <v>99.1</v>
      </c>
      <c r="J83" s="36">
        <v>2205.4</v>
      </c>
      <c r="K83" s="33">
        <f t="shared" si="3"/>
        <v>119.72205634873244</v>
      </c>
      <c r="L83" s="39">
        <v>2207.2</v>
      </c>
      <c r="M83" s="36">
        <v>106.9</v>
      </c>
      <c r="N83" s="64">
        <v>4089.9</v>
      </c>
      <c r="O83" s="35">
        <f>N83/J83*100</f>
        <v>185.449351591548</v>
      </c>
      <c r="P83" s="63">
        <f>L83*105.5%</f>
        <v>2328.5959999999995</v>
      </c>
      <c r="Q83" s="35">
        <f>P83/L83*100</f>
        <v>105.5</v>
      </c>
      <c r="R83" s="35"/>
      <c r="S83" s="35"/>
      <c r="T83" s="35"/>
      <c r="U83" s="108"/>
      <c r="V83" s="60"/>
      <c r="W83" s="24"/>
      <c r="X83" s="60"/>
      <c r="Y83" s="24"/>
    </row>
    <row r="84" spans="1:25" s="1" customFormat="1" ht="28.5" customHeight="1" hidden="1">
      <c r="A84" s="28" t="s">
        <v>164</v>
      </c>
      <c r="B84" s="29" t="s">
        <v>103</v>
      </c>
      <c r="C84" s="30" t="s">
        <v>16</v>
      </c>
      <c r="D84" s="36"/>
      <c r="E84" s="36"/>
      <c r="F84" s="62">
        <v>195.3</v>
      </c>
      <c r="G84" s="62">
        <v>46.6</v>
      </c>
      <c r="H84" s="42">
        <v>105.7</v>
      </c>
      <c r="I84" s="36">
        <v>92.8</v>
      </c>
      <c r="J84" s="33">
        <v>321</v>
      </c>
      <c r="K84" s="33">
        <f t="shared" si="3"/>
        <v>164.36251920122885</v>
      </c>
      <c r="L84" s="35">
        <v>307.1</v>
      </c>
      <c r="M84" s="36">
        <v>290.5</v>
      </c>
      <c r="N84" s="35">
        <v>116</v>
      </c>
      <c r="O84" s="35">
        <f t="shared" si="4"/>
        <v>36.13707165109034</v>
      </c>
      <c r="P84" s="35">
        <v>130</v>
      </c>
      <c r="Q84" s="35">
        <f t="shared" si="5"/>
        <v>42.33148811462064</v>
      </c>
      <c r="R84" s="35"/>
      <c r="S84" s="35"/>
      <c r="T84" s="35"/>
      <c r="U84" s="108"/>
      <c r="V84" s="60"/>
      <c r="W84" s="24"/>
      <c r="X84" s="60"/>
      <c r="Y84" s="24"/>
    </row>
    <row r="85" spans="1:25" s="1" customFormat="1" ht="21.75" customHeight="1">
      <c r="A85" s="52" t="s">
        <v>165</v>
      </c>
      <c r="B85" s="145" t="s">
        <v>238</v>
      </c>
      <c r="C85" s="14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9"/>
      <c r="O85" s="39"/>
      <c r="P85" s="39"/>
      <c r="Q85" s="39"/>
      <c r="R85" s="39"/>
      <c r="S85" s="39"/>
      <c r="T85" s="39"/>
      <c r="U85" s="109"/>
      <c r="V85" s="60"/>
      <c r="W85" s="24"/>
      <c r="X85" s="60"/>
      <c r="Y85" s="24"/>
    </row>
    <row r="86" spans="1:25" s="1" customFormat="1" ht="25.5" customHeight="1">
      <c r="A86" s="28" t="s">
        <v>166</v>
      </c>
      <c r="B86" s="29" t="s">
        <v>50</v>
      </c>
      <c r="C86" s="30" t="s">
        <v>30</v>
      </c>
      <c r="D86" s="36"/>
      <c r="E86" s="36"/>
      <c r="F86" s="33">
        <v>14.3</v>
      </c>
      <c r="G86" s="33">
        <f>F86/17*100</f>
        <v>84.11764705882354</v>
      </c>
      <c r="H86" s="33">
        <v>26.037</v>
      </c>
      <c r="I86" s="33">
        <f>H86/27.6*100</f>
        <v>94.33695652173913</v>
      </c>
      <c r="J86" s="35">
        <v>15.946</v>
      </c>
      <c r="K86" s="35">
        <f>J86/F86*100</f>
        <v>111.51048951048949</v>
      </c>
      <c r="L86" s="35">
        <v>27.311</v>
      </c>
      <c r="M86" s="35">
        <f>L86/H86*100</f>
        <v>104.89303683220032</v>
      </c>
      <c r="N86" s="169">
        <v>0.266</v>
      </c>
      <c r="O86" s="65">
        <f>N86/15.9*100</f>
        <v>1.6729559748427671</v>
      </c>
      <c r="P86" s="71">
        <v>0.295</v>
      </c>
      <c r="Q86" s="37">
        <f>P86/27.3*100</f>
        <v>1.0805860805860805</v>
      </c>
      <c r="R86" s="45">
        <v>0</v>
      </c>
      <c r="S86" s="66">
        <f>R86/N86*100</f>
        <v>0</v>
      </c>
      <c r="T86" s="35">
        <v>0</v>
      </c>
      <c r="U86" s="10">
        <f>T86/P86*100</f>
        <v>0</v>
      </c>
      <c r="V86" s="71">
        <v>0.327</v>
      </c>
      <c r="W86" s="10" t="e">
        <f>V86/R86*100</f>
        <v>#DIV/0!</v>
      </c>
      <c r="X86" s="71">
        <v>0.56</v>
      </c>
      <c r="Y86" s="10" t="e">
        <f>X86/T86*100</f>
        <v>#DIV/0!</v>
      </c>
    </row>
    <row r="87" spans="1:25" s="1" customFormat="1" ht="25.5" customHeight="1">
      <c r="A87" s="28" t="s">
        <v>167</v>
      </c>
      <c r="B87" s="29" t="s">
        <v>31</v>
      </c>
      <c r="C87" s="30" t="s">
        <v>32</v>
      </c>
      <c r="D87" s="36"/>
      <c r="E87" s="36"/>
      <c r="F87" s="36"/>
      <c r="G87" s="33"/>
      <c r="H87" s="36"/>
      <c r="I87" s="33"/>
      <c r="J87" s="39">
        <f>500+180+50+50</f>
        <v>780</v>
      </c>
      <c r="K87" s="35"/>
      <c r="L87" s="39">
        <f>500+180+50+50+50</f>
        <v>830</v>
      </c>
      <c r="M87" s="35"/>
      <c r="N87" s="36" t="s">
        <v>241</v>
      </c>
      <c r="O87" s="36" t="s">
        <v>241</v>
      </c>
      <c r="P87" s="36" t="s">
        <v>241</v>
      </c>
      <c r="Q87" s="36" t="s">
        <v>241</v>
      </c>
      <c r="R87" s="67"/>
      <c r="S87" s="36" t="s">
        <v>241</v>
      </c>
      <c r="T87" s="39"/>
      <c r="U87" s="7" t="s">
        <v>241</v>
      </c>
      <c r="V87" s="36" t="s">
        <v>241</v>
      </c>
      <c r="W87" s="7" t="s">
        <v>241</v>
      </c>
      <c r="X87" s="39" t="s">
        <v>241</v>
      </c>
      <c r="Y87" s="7" t="s">
        <v>241</v>
      </c>
    </row>
    <row r="88" spans="1:25" s="1" customFormat="1" ht="21.75" customHeight="1">
      <c r="A88" s="28" t="s">
        <v>168</v>
      </c>
      <c r="B88" s="29" t="s">
        <v>33</v>
      </c>
      <c r="C88" s="30" t="s">
        <v>34</v>
      </c>
      <c r="D88" s="36"/>
      <c r="E88" s="36"/>
      <c r="F88" s="36"/>
      <c r="G88" s="33"/>
      <c r="H88" s="36"/>
      <c r="I88" s="33"/>
      <c r="J88" s="39">
        <f>80+20+20</f>
        <v>120</v>
      </c>
      <c r="K88" s="35"/>
      <c r="L88" s="39">
        <f>80+20+20+20</f>
        <v>140</v>
      </c>
      <c r="M88" s="35"/>
      <c r="N88" s="36" t="s">
        <v>241</v>
      </c>
      <c r="O88" s="36" t="s">
        <v>241</v>
      </c>
      <c r="P88" s="45" t="s">
        <v>90</v>
      </c>
      <c r="Q88" s="36" t="s">
        <v>241</v>
      </c>
      <c r="R88" s="67"/>
      <c r="S88" s="36" t="s">
        <v>241</v>
      </c>
      <c r="T88" s="39"/>
      <c r="U88" s="7" t="s">
        <v>241</v>
      </c>
      <c r="V88" s="39"/>
      <c r="W88" s="7" t="s">
        <v>241</v>
      </c>
      <c r="X88" s="39"/>
      <c r="Y88" s="7" t="s">
        <v>241</v>
      </c>
    </row>
    <row r="89" spans="1:25" s="1" customFormat="1" ht="23.25" customHeight="1" hidden="1">
      <c r="A89" s="28" t="s">
        <v>169</v>
      </c>
      <c r="B89" s="29" t="s">
        <v>35</v>
      </c>
      <c r="C89" s="30" t="s">
        <v>36</v>
      </c>
      <c r="D89" s="36"/>
      <c r="E89" s="36"/>
      <c r="F89" s="36"/>
      <c r="G89" s="36"/>
      <c r="H89" s="36"/>
      <c r="I89" s="36"/>
      <c r="J89" s="36"/>
      <c r="K89" s="33"/>
      <c r="L89" s="36"/>
      <c r="M89" s="33"/>
      <c r="N89" s="39"/>
      <c r="O89" s="35"/>
      <c r="P89" s="39"/>
      <c r="Q89" s="39"/>
      <c r="R89" s="39"/>
      <c r="S89" s="39"/>
      <c r="T89" s="39"/>
      <c r="U89" s="109"/>
      <c r="V89" s="60"/>
      <c r="W89" s="24"/>
      <c r="X89" s="60"/>
      <c r="Y89" s="24"/>
    </row>
    <row r="90" spans="1:25" s="1" customFormat="1" ht="27" customHeight="1" hidden="1">
      <c r="A90" s="28" t="s">
        <v>170</v>
      </c>
      <c r="B90" s="29" t="s">
        <v>37</v>
      </c>
      <c r="C90" s="30" t="s">
        <v>38</v>
      </c>
      <c r="D90" s="36"/>
      <c r="E90" s="36"/>
      <c r="F90" s="36"/>
      <c r="G90" s="36"/>
      <c r="H90" s="36"/>
      <c r="I90" s="36"/>
      <c r="J90" s="36"/>
      <c r="K90" s="33"/>
      <c r="L90" s="36"/>
      <c r="M90" s="33"/>
      <c r="N90" s="39"/>
      <c r="O90" s="35"/>
      <c r="P90" s="39"/>
      <c r="Q90" s="39"/>
      <c r="R90" s="39"/>
      <c r="S90" s="39"/>
      <c r="T90" s="39"/>
      <c r="U90" s="109"/>
      <c r="V90" s="60"/>
      <c r="W90" s="24"/>
      <c r="X90" s="60"/>
      <c r="Y90" s="24"/>
    </row>
    <row r="91" spans="1:25" s="1" customFormat="1" ht="24.75" customHeight="1">
      <c r="A91" s="52" t="s">
        <v>171</v>
      </c>
      <c r="B91" s="145" t="s">
        <v>74</v>
      </c>
      <c r="C91" s="146"/>
      <c r="D91" s="36"/>
      <c r="E91" s="36"/>
      <c r="F91" s="36"/>
      <c r="G91" s="36"/>
      <c r="H91" s="36"/>
      <c r="I91" s="36"/>
      <c r="J91" s="36"/>
      <c r="K91" s="33"/>
      <c r="L91" s="36"/>
      <c r="M91" s="33"/>
      <c r="N91" s="39"/>
      <c r="O91" s="35"/>
      <c r="P91" s="39"/>
      <c r="Q91" s="39"/>
      <c r="R91" s="39"/>
      <c r="S91" s="39"/>
      <c r="T91" s="39"/>
      <c r="U91" s="109"/>
      <c r="V91" s="60"/>
      <c r="W91" s="24"/>
      <c r="X91" s="60"/>
      <c r="Y91" s="24"/>
    </row>
    <row r="92" spans="1:25" s="1" customFormat="1" ht="50.25" customHeight="1">
      <c r="A92" s="28" t="s">
        <v>172</v>
      </c>
      <c r="B92" s="29" t="s">
        <v>85</v>
      </c>
      <c r="C92" s="30" t="s">
        <v>51</v>
      </c>
      <c r="D92" s="36"/>
      <c r="E92" s="36"/>
      <c r="F92" s="42">
        <v>38</v>
      </c>
      <c r="G92" s="33">
        <f>F92/41*100</f>
        <v>92.6829268292683</v>
      </c>
      <c r="H92" s="48">
        <v>38</v>
      </c>
      <c r="I92" s="33">
        <f>H92/40*100</f>
        <v>95</v>
      </c>
      <c r="J92" s="39">
        <v>41</v>
      </c>
      <c r="K92" s="35">
        <f aca="true" t="shared" si="6" ref="K92:K111">J92/F92*100</f>
        <v>107.89473684210526</v>
      </c>
      <c r="L92" s="43">
        <v>41</v>
      </c>
      <c r="M92" s="35">
        <f aca="true" t="shared" si="7" ref="M92:M111">L92/H92*100</f>
        <v>107.89473684210526</v>
      </c>
      <c r="N92" s="39">
        <v>1</v>
      </c>
      <c r="O92" s="35">
        <f>N92/J92*100</f>
        <v>2.4390243902439024</v>
      </c>
      <c r="P92" s="45">
        <v>1</v>
      </c>
      <c r="Q92" s="37">
        <f>P92/41*100</f>
        <v>2.4390243902439024</v>
      </c>
      <c r="R92" s="45">
        <v>1</v>
      </c>
      <c r="S92" s="37">
        <f>R92/N92*100</f>
        <v>100</v>
      </c>
      <c r="T92" s="39">
        <v>1</v>
      </c>
      <c r="U92" s="10">
        <f aca="true" t="shared" si="8" ref="U92:U111">T92/P92*100</f>
        <v>100</v>
      </c>
      <c r="V92" s="39">
        <v>1</v>
      </c>
      <c r="W92" s="10">
        <f aca="true" t="shared" si="9" ref="W92:W111">V92/R92*100</f>
        <v>100</v>
      </c>
      <c r="X92" s="39">
        <v>1</v>
      </c>
      <c r="Y92" s="10">
        <f aca="true" t="shared" si="10" ref="Y92:Y103">X92/T92*100</f>
        <v>100</v>
      </c>
    </row>
    <row r="93" spans="1:25" s="1" customFormat="1" ht="42" customHeight="1">
      <c r="A93" s="28" t="s">
        <v>173</v>
      </c>
      <c r="B93" s="49" t="s">
        <v>86</v>
      </c>
      <c r="C93" s="30" t="s">
        <v>51</v>
      </c>
      <c r="D93" s="36"/>
      <c r="E93" s="36"/>
      <c r="F93" s="42">
        <v>23</v>
      </c>
      <c r="G93" s="33">
        <f>F93/27*100</f>
        <v>85.18518518518519</v>
      </c>
      <c r="H93" s="48">
        <v>20</v>
      </c>
      <c r="I93" s="33">
        <f>H93/25*100</f>
        <v>80</v>
      </c>
      <c r="J93" s="39">
        <v>26</v>
      </c>
      <c r="K93" s="35">
        <f t="shared" si="6"/>
        <v>113.04347826086956</v>
      </c>
      <c r="L93" s="39">
        <v>26</v>
      </c>
      <c r="M93" s="35">
        <f t="shared" si="7"/>
        <v>130</v>
      </c>
      <c r="N93" s="39">
        <v>1</v>
      </c>
      <c r="O93" s="35">
        <f aca="true" t="shared" si="11" ref="O93:O111">N93/J93*100</f>
        <v>3.8461538461538463</v>
      </c>
      <c r="P93" s="45">
        <v>1</v>
      </c>
      <c r="Q93" s="37"/>
      <c r="R93" s="45">
        <v>1</v>
      </c>
      <c r="S93" s="37">
        <f aca="true" t="shared" si="12" ref="S93:S103">R93/N93*100</f>
        <v>100</v>
      </c>
      <c r="T93" s="39">
        <v>1</v>
      </c>
      <c r="U93" s="10">
        <f t="shared" si="8"/>
        <v>100</v>
      </c>
      <c r="V93" s="39">
        <v>1</v>
      </c>
      <c r="W93" s="10">
        <f t="shared" si="9"/>
        <v>100</v>
      </c>
      <c r="X93" s="39">
        <v>1</v>
      </c>
      <c r="Y93" s="10">
        <f t="shared" si="10"/>
        <v>100</v>
      </c>
    </row>
    <row r="94" spans="1:25" s="1" customFormat="1" ht="41.25" customHeight="1">
      <c r="A94" s="28" t="s">
        <v>174</v>
      </c>
      <c r="B94" s="50" t="s">
        <v>88</v>
      </c>
      <c r="C94" s="30" t="s">
        <v>51</v>
      </c>
      <c r="D94" s="36"/>
      <c r="E94" s="36"/>
      <c r="F94" s="42">
        <v>18</v>
      </c>
      <c r="G94" s="33">
        <f>F94/20*100</f>
        <v>90</v>
      </c>
      <c r="H94" s="48">
        <v>15</v>
      </c>
      <c r="I94" s="33">
        <f>H94/18*100</f>
        <v>83.33333333333334</v>
      </c>
      <c r="J94" s="39">
        <v>22</v>
      </c>
      <c r="K94" s="35">
        <f t="shared" si="6"/>
        <v>122.22222222222223</v>
      </c>
      <c r="L94" s="39">
        <v>22</v>
      </c>
      <c r="M94" s="35">
        <f t="shared" si="7"/>
        <v>146.66666666666666</v>
      </c>
      <c r="N94" s="39"/>
      <c r="O94" s="35">
        <f t="shared" si="11"/>
        <v>0</v>
      </c>
      <c r="P94" s="45"/>
      <c r="Q94" s="37"/>
      <c r="R94" s="45"/>
      <c r="S94" s="37" t="e">
        <f t="shared" si="12"/>
        <v>#DIV/0!</v>
      </c>
      <c r="T94" s="39"/>
      <c r="U94" s="10" t="e">
        <f t="shared" si="8"/>
        <v>#DIV/0!</v>
      </c>
      <c r="V94" s="39"/>
      <c r="W94" s="10" t="e">
        <f t="shared" si="9"/>
        <v>#DIV/0!</v>
      </c>
      <c r="X94" s="39"/>
      <c r="Y94" s="10" t="e">
        <f t="shared" si="10"/>
        <v>#DIV/0!</v>
      </c>
    </row>
    <row r="95" spans="1:25" s="1" customFormat="1" ht="51" customHeight="1">
      <c r="A95" s="28" t="s">
        <v>175</v>
      </c>
      <c r="B95" s="51" t="s">
        <v>87</v>
      </c>
      <c r="C95" s="30" t="s">
        <v>51</v>
      </c>
      <c r="D95" s="36"/>
      <c r="E95" s="36"/>
      <c r="F95" s="42">
        <v>23</v>
      </c>
      <c r="G95" s="33">
        <f>F95/26*100</f>
        <v>88.46153846153845</v>
      </c>
      <c r="H95" s="48">
        <v>23</v>
      </c>
      <c r="I95" s="33">
        <f>H95/27100</f>
        <v>0.0008487084870848708</v>
      </c>
      <c r="J95" s="39">
        <v>20</v>
      </c>
      <c r="K95" s="35">
        <f t="shared" si="6"/>
        <v>86.95652173913044</v>
      </c>
      <c r="L95" s="39">
        <v>20</v>
      </c>
      <c r="M95" s="35">
        <f t="shared" si="7"/>
        <v>86.95652173913044</v>
      </c>
      <c r="N95" s="39"/>
      <c r="O95" s="35">
        <f t="shared" si="11"/>
        <v>0</v>
      </c>
      <c r="P95" s="45"/>
      <c r="Q95" s="37"/>
      <c r="R95" s="45"/>
      <c r="S95" s="37" t="e">
        <f t="shared" si="12"/>
        <v>#DIV/0!</v>
      </c>
      <c r="T95" s="39"/>
      <c r="U95" s="10" t="e">
        <f t="shared" si="8"/>
        <v>#DIV/0!</v>
      </c>
      <c r="V95" s="39"/>
      <c r="W95" s="10" t="e">
        <f t="shared" si="9"/>
        <v>#DIV/0!</v>
      </c>
      <c r="X95" s="39"/>
      <c r="Y95" s="10" t="e">
        <f t="shared" si="10"/>
        <v>#DIV/0!</v>
      </c>
    </row>
    <row r="96" spans="1:25" s="1" customFormat="1" ht="28.5" customHeight="1">
      <c r="A96" s="28" t="s">
        <v>266</v>
      </c>
      <c r="B96" s="50" t="s">
        <v>88</v>
      </c>
      <c r="C96" s="30" t="s">
        <v>51</v>
      </c>
      <c r="D96" s="36"/>
      <c r="E96" s="36"/>
      <c r="F96" s="42">
        <v>14</v>
      </c>
      <c r="G96" s="33">
        <f>F96/19*100</f>
        <v>73.68421052631578</v>
      </c>
      <c r="H96" s="48">
        <v>17</v>
      </c>
      <c r="I96" s="33">
        <f>H96/20*100</f>
        <v>85</v>
      </c>
      <c r="J96" s="39">
        <v>15</v>
      </c>
      <c r="K96" s="35">
        <f t="shared" si="6"/>
        <v>107.14285714285714</v>
      </c>
      <c r="L96" s="39">
        <v>15</v>
      </c>
      <c r="M96" s="35">
        <f t="shared" si="7"/>
        <v>88.23529411764706</v>
      </c>
      <c r="N96" s="39"/>
      <c r="O96" s="35">
        <f t="shared" si="11"/>
        <v>0</v>
      </c>
      <c r="P96" s="45"/>
      <c r="Q96" s="37"/>
      <c r="R96" s="45"/>
      <c r="S96" s="37" t="e">
        <f t="shared" si="12"/>
        <v>#DIV/0!</v>
      </c>
      <c r="T96" s="39"/>
      <c r="U96" s="10" t="e">
        <f t="shared" si="8"/>
        <v>#DIV/0!</v>
      </c>
      <c r="V96" s="39"/>
      <c r="W96" s="10" t="e">
        <f t="shared" si="9"/>
        <v>#DIV/0!</v>
      </c>
      <c r="X96" s="39"/>
      <c r="Y96" s="10" t="e">
        <f t="shared" si="10"/>
        <v>#DIV/0!</v>
      </c>
    </row>
    <row r="97" spans="1:25" s="1" customFormat="1" ht="53.25" customHeight="1">
      <c r="A97" s="28" t="s">
        <v>176</v>
      </c>
      <c r="B97" s="29" t="s">
        <v>52</v>
      </c>
      <c r="C97" s="30" t="s">
        <v>7</v>
      </c>
      <c r="D97" s="36"/>
      <c r="E97" s="36" t="s">
        <v>90</v>
      </c>
      <c r="F97" s="42">
        <v>100</v>
      </c>
      <c r="G97" s="33">
        <f>F97/100*100</f>
        <v>100</v>
      </c>
      <c r="H97" s="33">
        <v>100</v>
      </c>
      <c r="I97" s="33">
        <f>H97/100*100</f>
        <v>100</v>
      </c>
      <c r="J97" s="39">
        <v>100</v>
      </c>
      <c r="K97" s="35">
        <f t="shared" si="6"/>
        <v>100</v>
      </c>
      <c r="L97" s="39">
        <v>100</v>
      </c>
      <c r="M97" s="35">
        <f t="shared" si="7"/>
        <v>100</v>
      </c>
      <c r="N97" s="39"/>
      <c r="O97" s="35">
        <f t="shared" si="11"/>
        <v>0</v>
      </c>
      <c r="P97" s="45"/>
      <c r="Q97" s="37"/>
      <c r="R97" s="45"/>
      <c r="S97" s="37" t="e">
        <f t="shared" si="12"/>
        <v>#DIV/0!</v>
      </c>
      <c r="T97" s="39"/>
      <c r="U97" s="10" t="e">
        <f t="shared" si="8"/>
        <v>#DIV/0!</v>
      </c>
      <c r="V97" s="39"/>
      <c r="W97" s="8" t="e">
        <f t="shared" si="9"/>
        <v>#DIV/0!</v>
      </c>
      <c r="X97" s="39"/>
      <c r="Y97" s="8" t="e">
        <f t="shared" si="10"/>
        <v>#DIV/0!</v>
      </c>
    </row>
    <row r="98" spans="1:25" s="1" customFormat="1" ht="33" customHeight="1">
      <c r="A98" s="177" t="s">
        <v>177</v>
      </c>
      <c r="B98" s="29" t="s">
        <v>53</v>
      </c>
      <c r="C98" s="30" t="s">
        <v>3</v>
      </c>
      <c r="D98" s="36"/>
      <c r="E98" s="36"/>
      <c r="F98" s="42">
        <v>154.74</v>
      </c>
      <c r="G98" s="33">
        <f>F98/130.6*100</f>
        <v>118.48392036753448</v>
      </c>
      <c r="H98" s="48">
        <v>129.96</v>
      </c>
      <c r="I98" s="33">
        <f>H98/144.7*100</f>
        <v>89.81340704906705</v>
      </c>
      <c r="J98" s="39">
        <v>129.69</v>
      </c>
      <c r="K98" s="35">
        <f t="shared" si="6"/>
        <v>83.81155486622721</v>
      </c>
      <c r="L98" s="34">
        <v>128.38</v>
      </c>
      <c r="M98" s="35">
        <f t="shared" si="7"/>
        <v>98.78424130501692</v>
      </c>
      <c r="N98" s="39">
        <v>0.4</v>
      </c>
      <c r="O98" s="35">
        <f t="shared" si="11"/>
        <v>0.3084277893438199</v>
      </c>
      <c r="P98" s="35">
        <v>0.4</v>
      </c>
      <c r="Q98" s="35">
        <v>100</v>
      </c>
      <c r="R98" s="39">
        <v>0.4</v>
      </c>
      <c r="S98" s="37">
        <f t="shared" si="12"/>
        <v>100</v>
      </c>
      <c r="T98" s="39">
        <v>0.4</v>
      </c>
      <c r="U98" s="10">
        <f t="shared" si="8"/>
        <v>100</v>
      </c>
      <c r="V98" s="39">
        <v>0.4</v>
      </c>
      <c r="W98" s="10">
        <f t="shared" si="9"/>
        <v>100</v>
      </c>
      <c r="X98" s="39">
        <v>0.4</v>
      </c>
      <c r="Y98" s="10">
        <f t="shared" si="10"/>
        <v>100</v>
      </c>
    </row>
    <row r="99" spans="1:25" s="1" customFormat="1" ht="50.25" customHeight="1">
      <c r="A99" s="177" t="s">
        <v>178</v>
      </c>
      <c r="B99" s="29" t="s">
        <v>54</v>
      </c>
      <c r="C99" s="30" t="s">
        <v>7</v>
      </c>
      <c r="D99" s="36"/>
      <c r="E99" s="36" t="s">
        <v>90</v>
      </c>
      <c r="F99" s="42">
        <v>64.2</v>
      </c>
      <c r="G99" s="36">
        <f>F99/60*100</f>
        <v>107</v>
      </c>
      <c r="H99" s="48">
        <v>66</v>
      </c>
      <c r="I99" s="33">
        <f>H99/67.3*100</f>
        <v>98.06835066864785</v>
      </c>
      <c r="J99" s="35">
        <f>102.004/J98*100</f>
        <v>78.65217056056751</v>
      </c>
      <c r="K99" s="35">
        <f t="shared" si="6"/>
        <v>122.51116909745718</v>
      </c>
      <c r="L99" s="34">
        <v>66</v>
      </c>
      <c r="M99" s="35">
        <f t="shared" si="7"/>
        <v>100</v>
      </c>
      <c r="N99" s="39">
        <v>50</v>
      </c>
      <c r="O99" s="35">
        <f t="shared" si="11"/>
        <v>63.571036429943916</v>
      </c>
      <c r="P99" s="39">
        <v>50</v>
      </c>
      <c r="Q99" s="35">
        <f>P99/L99*100</f>
        <v>75.75757575757575</v>
      </c>
      <c r="R99" s="39">
        <v>50</v>
      </c>
      <c r="S99" s="37">
        <f t="shared" si="12"/>
        <v>100</v>
      </c>
      <c r="T99" s="39">
        <v>50</v>
      </c>
      <c r="U99" s="10">
        <f t="shared" si="8"/>
        <v>100</v>
      </c>
      <c r="V99" s="39">
        <v>50</v>
      </c>
      <c r="W99" s="10">
        <f t="shared" si="9"/>
        <v>100</v>
      </c>
      <c r="X99" s="39">
        <v>50</v>
      </c>
      <c r="Y99" s="10">
        <f t="shared" si="10"/>
        <v>100</v>
      </c>
    </row>
    <row r="100" spans="1:25" s="1" customFormat="1" ht="51.75" customHeight="1">
      <c r="A100" s="28" t="s">
        <v>179</v>
      </c>
      <c r="B100" s="49" t="s">
        <v>67</v>
      </c>
      <c r="C100" s="30" t="s">
        <v>3</v>
      </c>
      <c r="D100" s="36"/>
      <c r="E100" s="36"/>
      <c r="F100" s="42">
        <v>27.7</v>
      </c>
      <c r="G100" s="33">
        <f>F100/32.4*100</f>
        <v>85.49382716049382</v>
      </c>
      <c r="H100" s="39">
        <v>35.73</v>
      </c>
      <c r="I100" s="33">
        <f>H100/45.2*100</f>
        <v>79.04867256637166</v>
      </c>
      <c r="J100" s="39">
        <v>25.2</v>
      </c>
      <c r="K100" s="35">
        <f t="shared" si="6"/>
        <v>90.97472924187726</v>
      </c>
      <c r="L100" s="39">
        <v>32.87</v>
      </c>
      <c r="M100" s="35">
        <f t="shared" si="7"/>
        <v>91.99552197033304</v>
      </c>
      <c r="N100" s="39"/>
      <c r="O100" s="35">
        <f>N100/25.2*100</f>
        <v>0</v>
      </c>
      <c r="P100" s="39"/>
      <c r="Q100" s="37">
        <f>P100/L100*100</f>
        <v>0</v>
      </c>
      <c r="R100" s="37"/>
      <c r="S100" s="37" t="e">
        <f t="shared" si="12"/>
        <v>#DIV/0!</v>
      </c>
      <c r="T100" s="39"/>
      <c r="U100" s="10" t="e">
        <f t="shared" si="8"/>
        <v>#DIV/0!</v>
      </c>
      <c r="V100" s="39"/>
      <c r="W100" s="10" t="e">
        <f t="shared" si="9"/>
        <v>#DIV/0!</v>
      </c>
      <c r="X100" s="39"/>
      <c r="Y100" s="10" t="e">
        <f t="shared" si="10"/>
        <v>#DIV/0!</v>
      </c>
    </row>
    <row r="101" spans="1:25" s="1" customFormat="1" ht="75.75" customHeight="1">
      <c r="A101" s="28" t="s">
        <v>180</v>
      </c>
      <c r="B101" s="41" t="s">
        <v>93</v>
      </c>
      <c r="C101" s="30" t="s">
        <v>7</v>
      </c>
      <c r="D101" s="36"/>
      <c r="E101" s="36"/>
      <c r="F101" s="42">
        <v>96.1</v>
      </c>
      <c r="G101" s="33">
        <f>F101/95.8*100</f>
        <v>100.31315240083507</v>
      </c>
      <c r="H101" s="42">
        <v>96.1</v>
      </c>
      <c r="I101" s="33">
        <f>H101/95.8*100</f>
        <v>100.31315240083507</v>
      </c>
      <c r="J101" s="39">
        <v>95.9</v>
      </c>
      <c r="K101" s="35">
        <f t="shared" si="6"/>
        <v>99.79188345473466</v>
      </c>
      <c r="L101" s="35">
        <v>96</v>
      </c>
      <c r="M101" s="35">
        <f t="shared" si="7"/>
        <v>99.89594172736733</v>
      </c>
      <c r="N101" s="39"/>
      <c r="O101" s="35">
        <f t="shared" si="11"/>
        <v>0</v>
      </c>
      <c r="P101" s="43"/>
      <c r="Q101" s="44">
        <f>P101/L101*100</f>
        <v>0</v>
      </c>
      <c r="R101" s="45"/>
      <c r="S101" s="37" t="e">
        <f t="shared" si="12"/>
        <v>#DIV/0!</v>
      </c>
      <c r="T101" s="39"/>
      <c r="U101" s="10" t="e">
        <f t="shared" si="8"/>
        <v>#DIV/0!</v>
      </c>
      <c r="V101" s="39"/>
      <c r="W101" s="8" t="e">
        <f t="shared" si="9"/>
        <v>#DIV/0!</v>
      </c>
      <c r="X101" s="39"/>
      <c r="Y101" s="8" t="e">
        <f t="shared" si="10"/>
        <v>#DIV/0!</v>
      </c>
    </row>
    <row r="102" spans="1:25" s="1" customFormat="1" ht="78.75" customHeight="1">
      <c r="A102" s="28" t="s">
        <v>181</v>
      </c>
      <c r="B102" s="175" t="s">
        <v>100</v>
      </c>
      <c r="C102" s="30" t="s">
        <v>51</v>
      </c>
      <c r="D102" s="36"/>
      <c r="E102" s="36"/>
      <c r="F102" s="42">
        <v>936</v>
      </c>
      <c r="G102" s="33">
        <f>F102/1037*100</f>
        <v>90.26036644165863</v>
      </c>
      <c r="H102" s="33">
        <v>1463</v>
      </c>
      <c r="I102" s="33">
        <f>H102/1082*100</f>
        <v>135.21256931608133</v>
      </c>
      <c r="J102" s="39">
        <v>782</v>
      </c>
      <c r="K102" s="35">
        <f t="shared" si="6"/>
        <v>83.54700854700855</v>
      </c>
      <c r="L102" s="39">
        <v>1233</v>
      </c>
      <c r="M102" s="35">
        <f t="shared" si="7"/>
        <v>84.27887901572112</v>
      </c>
      <c r="N102" s="39">
        <v>15</v>
      </c>
      <c r="O102" s="35">
        <f>N102/782*100</f>
        <v>1.9181585677749362</v>
      </c>
      <c r="P102" s="39">
        <v>18</v>
      </c>
      <c r="Q102" s="37">
        <f>P102/1233*100</f>
        <v>1.4598540145985401</v>
      </c>
      <c r="R102" s="46">
        <v>14</v>
      </c>
      <c r="S102" s="47">
        <f t="shared" si="12"/>
        <v>93.33333333333333</v>
      </c>
      <c r="T102" s="39">
        <v>16</v>
      </c>
      <c r="U102" s="10">
        <f t="shared" si="8"/>
        <v>88.88888888888889</v>
      </c>
      <c r="V102" s="39">
        <v>10</v>
      </c>
      <c r="W102" s="10">
        <f t="shared" si="9"/>
        <v>71.42857142857143</v>
      </c>
      <c r="X102" s="39">
        <v>13</v>
      </c>
      <c r="Y102" s="10">
        <f t="shared" si="10"/>
        <v>81.25</v>
      </c>
    </row>
    <row r="103" spans="1:25" s="1" customFormat="1" ht="99" customHeight="1">
      <c r="A103" s="28" t="s">
        <v>182</v>
      </c>
      <c r="B103" s="175" t="s">
        <v>101</v>
      </c>
      <c r="C103" s="30" t="s">
        <v>84</v>
      </c>
      <c r="D103" s="36"/>
      <c r="E103" s="36"/>
      <c r="F103" s="42">
        <v>2249</v>
      </c>
      <c r="G103" s="33">
        <f>F103/2595*100</f>
        <v>86.66666666666667</v>
      </c>
      <c r="H103" s="33">
        <v>2025</v>
      </c>
      <c r="I103" s="33">
        <f>H103/2645*100</f>
        <v>76.55954631379961</v>
      </c>
      <c r="J103" s="39">
        <v>1873</v>
      </c>
      <c r="K103" s="35">
        <f t="shared" si="6"/>
        <v>83.28145842596709</v>
      </c>
      <c r="L103" s="39">
        <v>1678</v>
      </c>
      <c r="M103" s="35">
        <f t="shared" si="7"/>
        <v>82.86419753086419</v>
      </c>
      <c r="N103" s="39">
        <v>31</v>
      </c>
      <c r="O103" s="35">
        <f>N103/1873*100</f>
        <v>1.6550987720234915</v>
      </c>
      <c r="P103" s="39">
        <v>43</v>
      </c>
      <c r="Q103" s="37">
        <f>P103/1678*100</f>
        <v>2.562574493444577</v>
      </c>
      <c r="R103" s="46">
        <v>28</v>
      </c>
      <c r="S103" s="47">
        <f t="shared" si="12"/>
        <v>90.32258064516128</v>
      </c>
      <c r="T103" s="39">
        <v>43</v>
      </c>
      <c r="U103" s="10">
        <f t="shared" si="8"/>
        <v>100</v>
      </c>
      <c r="V103" s="39">
        <v>30</v>
      </c>
      <c r="W103" s="10">
        <f t="shared" si="9"/>
        <v>107.14285714285714</v>
      </c>
      <c r="X103" s="39">
        <v>35</v>
      </c>
      <c r="Y103" s="10">
        <f t="shared" si="10"/>
        <v>81.3953488372093</v>
      </c>
    </row>
    <row r="104" spans="1:25" s="40" customFormat="1" ht="147" customHeight="1">
      <c r="A104" s="28" t="s">
        <v>183</v>
      </c>
      <c r="B104" s="29" t="s">
        <v>244</v>
      </c>
      <c r="C104" s="30" t="s">
        <v>7</v>
      </c>
      <c r="D104" s="31"/>
      <c r="E104" s="31"/>
      <c r="F104" s="36" t="s">
        <v>241</v>
      </c>
      <c r="G104" s="33"/>
      <c r="H104" s="36" t="s">
        <v>241</v>
      </c>
      <c r="I104" s="33"/>
      <c r="J104" s="36" t="s">
        <v>241</v>
      </c>
      <c r="K104" s="35"/>
      <c r="L104" s="36" t="s">
        <v>241</v>
      </c>
      <c r="M104" s="35"/>
      <c r="N104" s="35"/>
      <c r="O104" s="45" t="s">
        <v>90</v>
      </c>
      <c r="P104" s="37"/>
      <c r="Q104" s="45" t="s">
        <v>90</v>
      </c>
      <c r="R104" s="45"/>
      <c r="S104" s="45" t="s">
        <v>90</v>
      </c>
      <c r="T104" s="39"/>
      <c r="U104" s="8" t="s">
        <v>90</v>
      </c>
      <c r="V104" s="39"/>
      <c r="W104" s="8" t="s">
        <v>90</v>
      </c>
      <c r="X104" s="39"/>
      <c r="Y104" s="8" t="s">
        <v>90</v>
      </c>
    </row>
    <row r="105" spans="1:25" s="40" customFormat="1" ht="53.25" customHeight="1">
      <c r="A105" s="28" t="s">
        <v>184</v>
      </c>
      <c r="B105" s="29" t="s">
        <v>94</v>
      </c>
      <c r="C105" s="30" t="s">
        <v>7</v>
      </c>
      <c r="D105" s="31"/>
      <c r="E105" s="31"/>
      <c r="F105" s="32">
        <v>67.9</v>
      </c>
      <c r="G105" s="33">
        <f>F105/65.8*100</f>
        <v>103.19148936170215</v>
      </c>
      <c r="H105" s="34">
        <v>68.1</v>
      </c>
      <c r="I105" s="33">
        <f>H105/67.7*100</f>
        <v>100.59084194977844</v>
      </c>
      <c r="J105" s="34">
        <v>69.5</v>
      </c>
      <c r="K105" s="35">
        <f t="shared" si="6"/>
        <v>102.35640648011781</v>
      </c>
      <c r="L105" s="34">
        <v>68</v>
      </c>
      <c r="M105" s="35">
        <f t="shared" si="7"/>
        <v>99.8531571218796</v>
      </c>
      <c r="N105" s="36"/>
      <c r="O105" s="35">
        <f t="shared" si="11"/>
        <v>0</v>
      </c>
      <c r="P105" s="35"/>
      <c r="Q105" s="37">
        <v>93.5</v>
      </c>
      <c r="R105" s="38"/>
      <c r="S105" s="37" t="e">
        <f>R105/N105*100</f>
        <v>#DIV/0!</v>
      </c>
      <c r="T105" s="39"/>
      <c r="U105" s="10" t="e">
        <f t="shared" si="8"/>
        <v>#DIV/0!</v>
      </c>
      <c r="V105" s="39"/>
      <c r="W105" s="10" t="e">
        <f t="shared" si="9"/>
        <v>#DIV/0!</v>
      </c>
      <c r="X105" s="39"/>
      <c r="Y105" s="10" t="e">
        <f aca="true" t="shared" si="13" ref="Y105:Y110">X105/T105*100</f>
        <v>#DIV/0!</v>
      </c>
    </row>
    <row r="106" spans="1:25" s="40" customFormat="1" ht="51.75" customHeight="1">
      <c r="A106" s="28" t="s">
        <v>185</v>
      </c>
      <c r="B106" s="29" t="s">
        <v>95</v>
      </c>
      <c r="C106" s="30" t="s">
        <v>7</v>
      </c>
      <c r="D106" s="31"/>
      <c r="E106" s="31"/>
      <c r="F106" s="32">
        <v>65</v>
      </c>
      <c r="G106" s="33">
        <f>F106/61.5*100</f>
        <v>105.6910569105691</v>
      </c>
      <c r="H106" s="34">
        <v>66</v>
      </c>
      <c r="I106" s="33">
        <f>H106/64.5*100</f>
        <v>102.32558139534885</v>
      </c>
      <c r="J106" s="34">
        <v>67.3</v>
      </c>
      <c r="K106" s="35">
        <f t="shared" si="6"/>
        <v>103.53846153846153</v>
      </c>
      <c r="L106" s="34">
        <v>66</v>
      </c>
      <c r="M106" s="35">
        <f t="shared" si="7"/>
        <v>100</v>
      </c>
      <c r="N106" s="36"/>
      <c r="O106" s="35">
        <f t="shared" si="11"/>
        <v>0</v>
      </c>
      <c r="P106" s="35"/>
      <c r="Q106" s="37">
        <v>94.7</v>
      </c>
      <c r="R106" s="38"/>
      <c r="S106" s="37" t="e">
        <f aca="true" t="shared" si="14" ref="S106:S111">R106/N106*100</f>
        <v>#DIV/0!</v>
      </c>
      <c r="T106" s="39"/>
      <c r="U106" s="10" t="e">
        <f t="shared" si="8"/>
        <v>#DIV/0!</v>
      </c>
      <c r="V106" s="39"/>
      <c r="W106" s="10" t="e">
        <f t="shared" si="9"/>
        <v>#DIV/0!</v>
      </c>
      <c r="X106" s="39"/>
      <c r="Y106" s="10" t="e">
        <f t="shared" si="13"/>
        <v>#DIV/0!</v>
      </c>
    </row>
    <row r="107" spans="1:25" s="40" customFormat="1" ht="51" customHeight="1">
      <c r="A107" s="28" t="s">
        <v>186</v>
      </c>
      <c r="B107" s="29" t="s">
        <v>96</v>
      </c>
      <c r="C107" s="30" t="s">
        <v>7</v>
      </c>
      <c r="D107" s="31"/>
      <c r="E107" s="31"/>
      <c r="F107" s="32">
        <v>72</v>
      </c>
      <c r="G107" s="33">
        <f>F107/73.1*100</f>
        <v>98.4952120383037</v>
      </c>
      <c r="H107" s="34">
        <v>73.7</v>
      </c>
      <c r="I107" s="33">
        <f>H107/76.3*100</f>
        <v>96.59239842726082</v>
      </c>
      <c r="J107" s="34">
        <v>74</v>
      </c>
      <c r="K107" s="35">
        <f t="shared" si="6"/>
        <v>102.77777777777777</v>
      </c>
      <c r="L107" s="34">
        <v>73.8</v>
      </c>
      <c r="M107" s="35">
        <f t="shared" si="7"/>
        <v>100.13568521031206</v>
      </c>
      <c r="N107" s="36"/>
      <c r="O107" s="35">
        <f t="shared" si="11"/>
        <v>0</v>
      </c>
      <c r="P107" s="35"/>
      <c r="Q107" s="37">
        <v>93.8</v>
      </c>
      <c r="R107" s="38"/>
      <c r="S107" s="37" t="e">
        <f t="shared" si="14"/>
        <v>#DIV/0!</v>
      </c>
      <c r="T107" s="39"/>
      <c r="U107" s="10" t="e">
        <f t="shared" si="8"/>
        <v>#DIV/0!</v>
      </c>
      <c r="V107" s="39"/>
      <c r="W107" s="10" t="e">
        <f t="shared" si="9"/>
        <v>#DIV/0!</v>
      </c>
      <c r="X107" s="39"/>
      <c r="Y107" s="10" t="e">
        <f t="shared" si="13"/>
        <v>#DIV/0!</v>
      </c>
    </row>
    <row r="108" spans="1:25" s="40" customFormat="1" ht="50.25" customHeight="1">
      <c r="A108" s="28" t="s">
        <v>187</v>
      </c>
      <c r="B108" s="29" t="s">
        <v>97</v>
      </c>
      <c r="C108" s="30" t="s">
        <v>7</v>
      </c>
      <c r="D108" s="31"/>
      <c r="E108" s="31"/>
      <c r="F108" s="32">
        <v>39</v>
      </c>
      <c r="G108" s="33">
        <f>F108/37.3*100</f>
        <v>104.55764075067025</v>
      </c>
      <c r="H108" s="34">
        <v>39.3</v>
      </c>
      <c r="I108" s="33">
        <f>H108/40*100</f>
        <v>98.25</v>
      </c>
      <c r="J108" s="34">
        <v>41.5</v>
      </c>
      <c r="K108" s="35">
        <f t="shared" si="6"/>
        <v>106.41025641025641</v>
      </c>
      <c r="L108" s="34">
        <v>37.8</v>
      </c>
      <c r="M108" s="35">
        <f t="shared" si="7"/>
        <v>96.18320610687023</v>
      </c>
      <c r="N108" s="36"/>
      <c r="O108" s="35">
        <f t="shared" si="11"/>
        <v>0</v>
      </c>
      <c r="P108" s="35"/>
      <c r="Q108" s="37">
        <v>58.1</v>
      </c>
      <c r="R108" s="38"/>
      <c r="S108" s="37" t="e">
        <f t="shared" si="14"/>
        <v>#DIV/0!</v>
      </c>
      <c r="T108" s="39"/>
      <c r="U108" s="10" t="e">
        <f t="shared" si="8"/>
        <v>#DIV/0!</v>
      </c>
      <c r="V108" s="39"/>
      <c r="W108" s="10" t="e">
        <f t="shared" si="9"/>
        <v>#DIV/0!</v>
      </c>
      <c r="X108" s="39"/>
      <c r="Y108" s="10" t="e">
        <f t="shared" si="13"/>
        <v>#DIV/0!</v>
      </c>
    </row>
    <row r="109" spans="1:25" s="40" customFormat="1" ht="26.25" customHeight="1">
      <c r="A109" s="28" t="s">
        <v>188</v>
      </c>
      <c r="B109" s="29" t="s">
        <v>98</v>
      </c>
      <c r="C109" s="30" t="s">
        <v>7</v>
      </c>
      <c r="D109" s="31"/>
      <c r="E109" s="31"/>
      <c r="F109" s="32">
        <v>41.6</v>
      </c>
      <c r="G109" s="33">
        <f>F109/40.2*100</f>
        <v>103.48258706467661</v>
      </c>
      <c r="H109" s="34">
        <v>43.1</v>
      </c>
      <c r="I109" s="33">
        <f>H109/42.3*100</f>
        <v>101.89125295508275</v>
      </c>
      <c r="J109" s="34">
        <v>44.3</v>
      </c>
      <c r="K109" s="35">
        <f t="shared" si="6"/>
        <v>106.4903846153846</v>
      </c>
      <c r="L109" s="34">
        <v>41.9</v>
      </c>
      <c r="M109" s="35">
        <f t="shared" si="7"/>
        <v>97.21577726218096</v>
      </c>
      <c r="N109" s="36"/>
      <c r="O109" s="35">
        <f t="shared" si="11"/>
        <v>0</v>
      </c>
      <c r="P109" s="35"/>
      <c r="Q109" s="37">
        <v>59.1</v>
      </c>
      <c r="R109" s="38"/>
      <c r="S109" s="37" t="e">
        <f t="shared" si="14"/>
        <v>#DIV/0!</v>
      </c>
      <c r="T109" s="39"/>
      <c r="U109" s="10" t="e">
        <f t="shared" si="8"/>
        <v>#DIV/0!</v>
      </c>
      <c r="V109" s="39"/>
      <c r="W109" s="10" t="e">
        <f t="shared" si="9"/>
        <v>#DIV/0!</v>
      </c>
      <c r="X109" s="39"/>
      <c r="Y109" s="10" t="e">
        <f t="shared" si="13"/>
        <v>#DIV/0!</v>
      </c>
    </row>
    <row r="110" spans="1:25" s="40" customFormat="1" ht="54.75" customHeight="1">
      <c r="A110" s="28" t="s">
        <v>189</v>
      </c>
      <c r="B110" s="29" t="s">
        <v>102</v>
      </c>
      <c r="C110" s="30" t="s">
        <v>7</v>
      </c>
      <c r="D110" s="31"/>
      <c r="E110" s="31"/>
      <c r="F110" s="32">
        <v>25</v>
      </c>
      <c r="G110" s="33">
        <f>F110/25.1*100</f>
        <v>99.601593625498</v>
      </c>
      <c r="H110" s="34">
        <v>26.6</v>
      </c>
      <c r="I110" s="33">
        <f>H110/27.2*100</f>
        <v>97.79411764705883</v>
      </c>
      <c r="J110" s="34">
        <v>27.8</v>
      </c>
      <c r="K110" s="35">
        <f t="shared" si="6"/>
        <v>111.20000000000002</v>
      </c>
      <c r="L110" s="34">
        <v>33.1</v>
      </c>
      <c r="M110" s="35">
        <f t="shared" si="7"/>
        <v>124.4360902255639</v>
      </c>
      <c r="N110" s="36"/>
      <c r="O110" s="35">
        <f t="shared" si="11"/>
        <v>0</v>
      </c>
      <c r="P110" s="35"/>
      <c r="Q110" s="37">
        <v>98.8</v>
      </c>
      <c r="R110" s="38"/>
      <c r="S110" s="37" t="e">
        <f t="shared" si="14"/>
        <v>#DIV/0!</v>
      </c>
      <c r="T110" s="39"/>
      <c r="U110" s="10" t="e">
        <f t="shared" si="8"/>
        <v>#DIV/0!</v>
      </c>
      <c r="V110" s="39"/>
      <c r="W110" s="10" t="e">
        <f t="shared" si="9"/>
        <v>#DIV/0!</v>
      </c>
      <c r="X110" s="39"/>
      <c r="Y110" s="10" t="e">
        <f t="shared" si="13"/>
        <v>#DIV/0!</v>
      </c>
    </row>
    <row r="111" spans="1:25" s="40" customFormat="1" ht="50.25" customHeight="1">
      <c r="A111" s="28" t="s">
        <v>190</v>
      </c>
      <c r="B111" s="29" t="s">
        <v>99</v>
      </c>
      <c r="C111" s="30" t="s">
        <v>7</v>
      </c>
      <c r="D111" s="31"/>
      <c r="E111" s="31"/>
      <c r="F111" s="32">
        <v>21</v>
      </c>
      <c r="G111" s="33">
        <f>F111/20.9*100</f>
        <v>100.47846889952154</v>
      </c>
      <c r="H111" s="34">
        <v>22</v>
      </c>
      <c r="I111" s="33">
        <f>H111/22.5*100</f>
        <v>97.77777777777777</v>
      </c>
      <c r="J111" s="34">
        <v>23.2</v>
      </c>
      <c r="K111" s="35">
        <f t="shared" si="6"/>
        <v>110.47619047619048</v>
      </c>
      <c r="L111" s="34">
        <v>34.4</v>
      </c>
      <c r="M111" s="35">
        <f t="shared" si="7"/>
        <v>156.36363636363635</v>
      </c>
      <c r="N111" s="36"/>
      <c r="O111" s="35">
        <f t="shared" si="11"/>
        <v>0</v>
      </c>
      <c r="P111" s="35"/>
      <c r="Q111" s="37">
        <v>197.7</v>
      </c>
      <c r="R111" s="38"/>
      <c r="S111" s="37" t="e">
        <f t="shared" si="14"/>
        <v>#DIV/0!</v>
      </c>
      <c r="T111" s="39"/>
      <c r="U111" s="10" t="e">
        <f t="shared" si="8"/>
        <v>#DIV/0!</v>
      </c>
      <c r="V111" s="39"/>
      <c r="W111" s="10" t="e">
        <f t="shared" si="9"/>
        <v>#DIV/0!</v>
      </c>
      <c r="X111" s="39"/>
      <c r="Y111" s="10" t="e">
        <f>X111/T111*100</f>
        <v>#DIV/0!</v>
      </c>
    </row>
    <row r="112" spans="1:25" ht="28.5" customHeight="1">
      <c r="A112" s="135" t="s">
        <v>191</v>
      </c>
      <c r="B112" s="161" t="s">
        <v>39</v>
      </c>
      <c r="C112" s="162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8"/>
      <c r="O112" s="8"/>
      <c r="P112" s="8"/>
      <c r="Q112" s="8"/>
      <c r="R112" s="8"/>
      <c r="S112" s="8"/>
      <c r="T112" s="8"/>
      <c r="U112" s="110"/>
      <c r="V112" s="98"/>
      <c r="W112" s="98"/>
      <c r="X112" s="98"/>
      <c r="Y112" s="98"/>
    </row>
    <row r="113" spans="1:25" ht="77.25" customHeight="1" hidden="1">
      <c r="A113" s="125" t="s">
        <v>192</v>
      </c>
      <c r="B113" s="126" t="s">
        <v>233</v>
      </c>
      <c r="C113" s="127" t="s">
        <v>40</v>
      </c>
      <c r="D113" s="7"/>
      <c r="E113" s="106"/>
      <c r="F113" s="136">
        <v>58786</v>
      </c>
      <c r="G113" s="137">
        <f>F113/54385.8*100</f>
        <v>108.09071485571602</v>
      </c>
      <c r="H113" s="7">
        <v>58835.2</v>
      </c>
      <c r="I113" s="9">
        <f>H113/54481.4*100</f>
        <v>107.99135117673187</v>
      </c>
      <c r="J113" s="7">
        <v>60837.8</v>
      </c>
      <c r="K113" s="9">
        <f>J113/F113*100</f>
        <v>103.49028680298031</v>
      </c>
      <c r="L113" s="9">
        <v>61124</v>
      </c>
      <c r="M113" s="9">
        <f aca="true" t="shared" si="15" ref="M113:M121">L113/H113*100</f>
        <v>103.89018818666378</v>
      </c>
      <c r="N113" s="8">
        <v>67494.8</v>
      </c>
      <c r="O113" s="10">
        <f>N113/J113*100</f>
        <v>110.94221027058835</v>
      </c>
      <c r="P113" s="10">
        <v>67764</v>
      </c>
      <c r="Q113" s="10">
        <f>P113/L113*100</f>
        <v>110.86316340553628</v>
      </c>
      <c r="R113" s="10"/>
      <c r="S113" s="10"/>
      <c r="T113" s="10"/>
      <c r="U113" s="110"/>
      <c r="V113" s="98"/>
      <c r="W113" s="98"/>
      <c r="X113" s="98"/>
      <c r="Y113" s="98"/>
    </row>
    <row r="114" spans="1:25" s="134" customFormat="1" ht="55.5" customHeight="1">
      <c r="A114" s="132" t="s">
        <v>193</v>
      </c>
      <c r="B114" s="138" t="s">
        <v>232</v>
      </c>
      <c r="C114" s="130" t="s">
        <v>40</v>
      </c>
      <c r="D114" s="99"/>
      <c r="E114" s="99"/>
      <c r="F114" s="139">
        <v>42504.272</v>
      </c>
      <c r="G114" s="99">
        <f>F114/39370.505*100</f>
        <v>107.95968200052297</v>
      </c>
      <c r="H114" s="99">
        <v>43323.894</v>
      </c>
      <c r="I114" s="99">
        <f>H114/40151.63*100</f>
        <v>107.90071038211899</v>
      </c>
      <c r="J114" s="99">
        <v>44645.092</v>
      </c>
      <c r="K114" s="99">
        <f aca="true" t="shared" si="16" ref="K114:K120">J114/F114*100</f>
        <v>105.03671725044485</v>
      </c>
      <c r="L114" s="99">
        <v>46308.1048</v>
      </c>
      <c r="M114" s="99">
        <f t="shared" si="15"/>
        <v>106.88814075669191</v>
      </c>
      <c r="N114" s="99"/>
      <c r="O114" s="99">
        <f aca="true" t="shared" si="17" ref="O114:O120">N114/J114*100</f>
        <v>0</v>
      </c>
      <c r="P114" s="99"/>
      <c r="Q114" s="99">
        <f>P114/L114*100</f>
        <v>0</v>
      </c>
      <c r="R114" s="99"/>
      <c r="S114" s="99" t="e">
        <f aca="true" t="shared" si="18" ref="S114:S119">R114/N114*100</f>
        <v>#DIV/0!</v>
      </c>
      <c r="T114" s="99"/>
      <c r="U114" s="133" t="e">
        <f aca="true" t="shared" si="19" ref="U114:U121">T114/P114*100</f>
        <v>#DIV/0!</v>
      </c>
      <c r="V114" s="99"/>
      <c r="W114" s="99" t="e">
        <f aca="true" t="shared" si="20" ref="W114:W120">V114/R114*100</f>
        <v>#DIV/0!</v>
      </c>
      <c r="X114" s="99"/>
      <c r="Y114" s="99" t="e">
        <f aca="true" t="shared" si="21" ref="Y114:Y120">X114/T114*100</f>
        <v>#DIV/0!</v>
      </c>
    </row>
    <row r="115" spans="1:25" s="134" customFormat="1" ht="33" customHeight="1">
      <c r="A115" s="132" t="s">
        <v>194</v>
      </c>
      <c r="B115" s="129" t="s">
        <v>41</v>
      </c>
      <c r="C115" s="130" t="s">
        <v>40</v>
      </c>
      <c r="D115" s="99"/>
      <c r="E115" s="99"/>
      <c r="F115" s="99">
        <v>39577.22</v>
      </c>
      <c r="G115" s="99">
        <f>F115/36638.95*100</f>
        <v>108.01952566872141</v>
      </c>
      <c r="H115" s="99">
        <v>40143.164</v>
      </c>
      <c r="I115" s="99">
        <f>H115/37351.355*100</f>
        <v>107.4744517300644</v>
      </c>
      <c r="J115" s="99">
        <v>41706.704</v>
      </c>
      <c r="K115" s="99">
        <f>J115/F115*100</f>
        <v>105.3805800407406</v>
      </c>
      <c r="L115" s="99">
        <v>42644.74</v>
      </c>
      <c r="M115" s="99">
        <f t="shared" si="15"/>
        <v>106.2316363503385</v>
      </c>
      <c r="N115" s="99"/>
      <c r="O115" s="99">
        <f t="shared" si="17"/>
        <v>0</v>
      </c>
      <c r="P115" s="99"/>
      <c r="Q115" s="99">
        <f aca="true" t="shared" si="22" ref="Q115:Q120">P115/L115*100</f>
        <v>0</v>
      </c>
      <c r="R115" s="99"/>
      <c r="S115" s="99" t="e">
        <f t="shared" si="18"/>
        <v>#DIV/0!</v>
      </c>
      <c r="T115" s="99"/>
      <c r="U115" s="133" t="e">
        <f t="shared" si="19"/>
        <v>#DIV/0!</v>
      </c>
      <c r="V115" s="99"/>
      <c r="W115" s="99" t="e">
        <f t="shared" si="20"/>
        <v>#DIV/0!</v>
      </c>
      <c r="X115" s="99"/>
      <c r="Y115" s="99" t="e">
        <f t="shared" si="21"/>
        <v>#DIV/0!</v>
      </c>
    </row>
    <row r="116" spans="1:25" ht="50.25" customHeight="1">
      <c r="A116" s="125" t="s">
        <v>195</v>
      </c>
      <c r="B116" s="128" t="s">
        <v>245</v>
      </c>
      <c r="C116" s="127" t="s">
        <v>7</v>
      </c>
      <c r="D116" s="7"/>
      <c r="E116" s="7" t="s">
        <v>90</v>
      </c>
      <c r="F116" s="9">
        <v>100.8</v>
      </c>
      <c r="G116" s="9">
        <f>F116/102.9*100</f>
        <v>97.95918367346937</v>
      </c>
      <c r="H116" s="9">
        <v>99.17</v>
      </c>
      <c r="I116" s="9">
        <f>H116/103.44*100</f>
        <v>95.87200309358083</v>
      </c>
      <c r="J116" s="9">
        <v>91.84</v>
      </c>
      <c r="K116" s="9">
        <f>J116/F116*100</f>
        <v>91.11111111111111</v>
      </c>
      <c r="L116" s="9">
        <v>95.264</v>
      </c>
      <c r="M116" s="9">
        <f t="shared" si="15"/>
        <v>96.0613088635676</v>
      </c>
      <c r="N116" s="10"/>
      <c r="O116" s="10">
        <f>N116/J116*100</f>
        <v>0</v>
      </c>
      <c r="P116" s="10"/>
      <c r="Q116" s="10">
        <f t="shared" si="22"/>
        <v>0</v>
      </c>
      <c r="R116" s="10"/>
      <c r="S116" s="10" t="e">
        <f t="shared" si="18"/>
        <v>#DIV/0!</v>
      </c>
      <c r="T116" s="10"/>
      <c r="U116" s="110" t="e">
        <f t="shared" si="19"/>
        <v>#DIV/0!</v>
      </c>
      <c r="V116" s="98"/>
      <c r="W116" s="98" t="e">
        <f t="shared" si="20"/>
        <v>#DIV/0!</v>
      </c>
      <c r="X116" s="98"/>
      <c r="Y116" s="98" t="e">
        <f t="shared" si="21"/>
        <v>#DIV/0!</v>
      </c>
    </row>
    <row r="117" spans="1:25" s="131" customFormat="1" ht="54" customHeight="1">
      <c r="A117" s="119" t="s">
        <v>196</v>
      </c>
      <c r="B117" s="129" t="s">
        <v>42</v>
      </c>
      <c r="C117" s="130" t="s">
        <v>40</v>
      </c>
      <c r="D117" s="99"/>
      <c r="E117" s="99"/>
      <c r="F117" s="99">
        <v>15442.55</v>
      </c>
      <c r="G117" s="99">
        <f>F117/14236.03*100</f>
        <v>108.4751156045611</v>
      </c>
      <c r="H117" s="99">
        <v>15476.07</v>
      </c>
      <c r="I117" s="99">
        <f>H117/14238.28*100</f>
        <v>108.69339555058617</v>
      </c>
      <c r="J117" s="99">
        <v>17178.13</v>
      </c>
      <c r="K117" s="99">
        <f t="shared" si="16"/>
        <v>111.23894693557736</v>
      </c>
      <c r="L117" s="99">
        <v>17136.61</v>
      </c>
      <c r="M117" s="99">
        <f t="shared" si="15"/>
        <v>110.72972660371786</v>
      </c>
      <c r="N117" s="98"/>
      <c r="O117" s="98">
        <f t="shared" si="17"/>
        <v>0</v>
      </c>
      <c r="P117" s="98"/>
      <c r="Q117" s="98">
        <f t="shared" si="22"/>
        <v>0</v>
      </c>
      <c r="R117" s="98"/>
      <c r="S117" s="98" t="e">
        <f t="shared" si="18"/>
        <v>#DIV/0!</v>
      </c>
      <c r="T117" s="98"/>
      <c r="U117" s="103" t="e">
        <f>T117/P117*100</f>
        <v>#DIV/0!</v>
      </c>
      <c r="V117" s="100"/>
      <c r="W117" s="98" t="e">
        <f t="shared" si="20"/>
        <v>#DIV/0!</v>
      </c>
      <c r="X117" s="100"/>
      <c r="Y117" s="98" t="e">
        <f t="shared" si="21"/>
        <v>#DIV/0!</v>
      </c>
    </row>
    <row r="118" spans="1:25" ht="54" customHeight="1">
      <c r="A118" s="125" t="s">
        <v>197</v>
      </c>
      <c r="B118" s="128" t="s">
        <v>43</v>
      </c>
      <c r="C118" s="127" t="s">
        <v>7</v>
      </c>
      <c r="D118" s="7"/>
      <c r="E118" s="7" t="s">
        <v>90</v>
      </c>
      <c r="F118" s="9">
        <v>165.338</v>
      </c>
      <c r="G118" s="9">
        <f>F118/161.425*100</f>
        <v>102.42403592999845</v>
      </c>
      <c r="H118" s="9">
        <v>165.679</v>
      </c>
      <c r="I118" s="9">
        <f>H118/161.542*100</f>
        <v>102.56094390313355</v>
      </c>
      <c r="J118" s="9">
        <v>146.085</v>
      </c>
      <c r="K118" s="9">
        <f>J118/F118*100</f>
        <v>88.35536900168141</v>
      </c>
      <c r="L118" s="9">
        <v>150.877</v>
      </c>
      <c r="M118" s="9">
        <f t="shared" si="15"/>
        <v>91.06585626422178</v>
      </c>
      <c r="N118" s="10"/>
      <c r="O118" s="10">
        <f>N118/J118*100</f>
        <v>0</v>
      </c>
      <c r="P118" s="10"/>
      <c r="Q118" s="10">
        <f>P118/L118*100</f>
        <v>0</v>
      </c>
      <c r="R118" s="10"/>
      <c r="S118" s="10" t="e">
        <f t="shared" si="18"/>
        <v>#DIV/0!</v>
      </c>
      <c r="T118" s="10"/>
      <c r="U118" s="140" t="e">
        <f t="shared" si="19"/>
        <v>#DIV/0!</v>
      </c>
      <c r="V118" s="98"/>
      <c r="W118" s="98" t="e">
        <f t="shared" si="20"/>
        <v>#DIV/0!</v>
      </c>
      <c r="X118" s="98"/>
      <c r="Y118" s="98" t="e">
        <f t="shared" si="21"/>
        <v>#DIV/0!</v>
      </c>
    </row>
    <row r="119" spans="1:25" ht="30.75" customHeight="1">
      <c r="A119" s="125" t="s">
        <v>198</v>
      </c>
      <c r="B119" s="126" t="s">
        <v>231</v>
      </c>
      <c r="C119" s="127" t="s">
        <v>44</v>
      </c>
      <c r="D119" s="7"/>
      <c r="E119" s="7"/>
      <c r="F119" s="10">
        <f>F53/F9</f>
        <v>62.031795970279134</v>
      </c>
      <c r="G119" s="9">
        <f>F119/48.8*100</f>
        <v>127.11433600467036</v>
      </c>
      <c r="H119" s="9">
        <f>H53/H9</f>
        <v>88.8855320577375</v>
      </c>
      <c r="I119" s="9">
        <f>H119/73.8*100</f>
        <v>120.44110034923783</v>
      </c>
      <c r="J119" s="9">
        <f>J53/J9</f>
        <v>71.07080005414919</v>
      </c>
      <c r="K119" s="9">
        <f t="shared" si="16"/>
        <v>114.57156598883715</v>
      </c>
      <c r="L119" s="9">
        <f>L53/L9</f>
        <v>94.20986437336416</v>
      </c>
      <c r="M119" s="9">
        <f t="shared" si="15"/>
        <v>105.99010006731817</v>
      </c>
      <c r="N119" s="9">
        <f>N53/N9</f>
        <v>0</v>
      </c>
      <c r="O119" s="9">
        <f t="shared" si="17"/>
        <v>0</v>
      </c>
      <c r="P119" s="10">
        <f>P53/P9</f>
        <v>0</v>
      </c>
      <c r="Q119" s="10">
        <f>P119/L119*100</f>
        <v>0</v>
      </c>
      <c r="R119" s="9">
        <f>R53/R9</f>
        <v>0</v>
      </c>
      <c r="S119" s="10" t="e">
        <f t="shared" si="18"/>
        <v>#DIV/0!</v>
      </c>
      <c r="T119" s="9">
        <f>T53/T9</f>
        <v>0</v>
      </c>
      <c r="U119" s="110" t="e">
        <f>T119/P119*100</f>
        <v>#DIV/0!</v>
      </c>
      <c r="V119" s="99">
        <f>V53/V9</f>
        <v>0</v>
      </c>
      <c r="W119" s="98" t="e">
        <f t="shared" si="20"/>
        <v>#DIV/0!</v>
      </c>
      <c r="X119" s="99">
        <f>X53/X9</f>
        <v>0</v>
      </c>
      <c r="Y119" s="98" t="e">
        <f t="shared" si="21"/>
        <v>#DIV/0!</v>
      </c>
    </row>
    <row r="120" spans="1:25" ht="29.25" customHeight="1">
      <c r="A120" s="125" t="s">
        <v>199</v>
      </c>
      <c r="B120" s="128" t="s">
        <v>80</v>
      </c>
      <c r="C120" s="127" t="s">
        <v>44</v>
      </c>
      <c r="D120" s="7"/>
      <c r="E120" s="7"/>
      <c r="F120" s="9">
        <f aca="true" t="shared" si="23" ref="F120:L120">F56/F9</f>
        <v>24.992502844902603</v>
      </c>
      <c r="G120" s="9">
        <f>F120/21.1*100</f>
        <v>118.44788078152892</v>
      </c>
      <c r="H120" s="9">
        <f t="shared" si="23"/>
        <v>33.659953004363885</v>
      </c>
      <c r="I120" s="9">
        <f>H120/28.7*100</f>
        <v>117.28206621729578</v>
      </c>
      <c r="J120" s="9">
        <f t="shared" si="23"/>
        <v>27.259374576959527</v>
      </c>
      <c r="K120" s="9">
        <f t="shared" si="16"/>
        <v>109.07020695816092</v>
      </c>
      <c r="L120" s="9">
        <f t="shared" si="23"/>
        <v>36.74326115775519</v>
      </c>
      <c r="M120" s="9">
        <f t="shared" si="15"/>
        <v>109.16016773104695</v>
      </c>
      <c r="N120" s="9">
        <f>N56/N9</f>
        <v>0.049411764705882356</v>
      </c>
      <c r="O120" s="9">
        <f t="shared" si="17"/>
        <v>0.1812652178294902</v>
      </c>
      <c r="P120" s="10">
        <f>P56/P9</f>
        <v>0.08770555990602977</v>
      </c>
      <c r="Q120" s="10">
        <f t="shared" si="22"/>
        <v>0.23869835486150975</v>
      </c>
      <c r="R120" s="10">
        <f>R56/R9</f>
        <v>0.05978090766823161</v>
      </c>
      <c r="S120" s="10">
        <f>R120/N120*100</f>
        <v>120.98517028094491</v>
      </c>
      <c r="T120" s="10">
        <f>T56/T9</f>
        <v>0.08671875</v>
      </c>
      <c r="U120" s="110">
        <f t="shared" si="19"/>
        <v>98.87486049107142</v>
      </c>
      <c r="V120" s="98">
        <f>V56/V9</f>
        <v>0.05886970172684458</v>
      </c>
      <c r="W120" s="98">
        <f t="shared" si="20"/>
        <v>98.47575760066411</v>
      </c>
      <c r="X120" s="98">
        <f>X56/X9</f>
        <v>0.0902668759811617</v>
      </c>
      <c r="Y120" s="98">
        <f t="shared" si="21"/>
        <v>104.09153266296126</v>
      </c>
    </row>
    <row r="121" spans="1:25" ht="95.25" customHeight="1">
      <c r="A121" s="125" t="s">
        <v>200</v>
      </c>
      <c r="B121" s="126" t="s">
        <v>81</v>
      </c>
      <c r="C121" s="142" t="s">
        <v>62</v>
      </c>
      <c r="D121" s="7"/>
      <c r="E121" s="7"/>
      <c r="F121" s="9">
        <v>11.428</v>
      </c>
      <c r="G121" s="9">
        <f>F121/11.289*100</f>
        <v>101.23128709363098</v>
      </c>
      <c r="H121" s="9">
        <v>11.842</v>
      </c>
      <c r="I121" s="9">
        <f>H121/11.043*100</f>
        <v>107.23535271212535</v>
      </c>
      <c r="J121" s="9">
        <v>11.882</v>
      </c>
      <c r="K121" s="9">
        <f>J121/F121*100</f>
        <v>103.97269863493173</v>
      </c>
      <c r="L121" s="9">
        <v>11.874</v>
      </c>
      <c r="M121" s="9">
        <f t="shared" si="15"/>
        <v>100.27022462421888</v>
      </c>
      <c r="N121" s="10"/>
      <c r="O121" s="9">
        <f>N121/J121*100</f>
        <v>0</v>
      </c>
      <c r="P121" s="10"/>
      <c r="Q121" s="10">
        <f>P121/L121*100</f>
        <v>0</v>
      </c>
      <c r="R121" s="10"/>
      <c r="S121" s="10" t="e">
        <f>R121/N121*100</f>
        <v>#DIV/0!</v>
      </c>
      <c r="T121" s="10"/>
      <c r="U121" s="98" t="e">
        <f t="shared" si="19"/>
        <v>#DIV/0!</v>
      </c>
      <c r="V121" s="98"/>
      <c r="W121" s="98" t="e">
        <f>V121/R121*100</f>
        <v>#DIV/0!</v>
      </c>
      <c r="X121" s="98"/>
      <c r="Y121" s="98" t="e">
        <f>X121/T121*100</f>
        <v>#DIV/0!</v>
      </c>
    </row>
    <row r="122" spans="1:25" ht="11.25" customHeight="1">
      <c r="A122" s="11"/>
      <c r="B122" s="12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25"/>
      <c r="O122" s="25"/>
      <c r="P122" s="25"/>
      <c r="Q122" s="25"/>
      <c r="R122" s="25"/>
      <c r="S122" s="25"/>
      <c r="T122" s="25"/>
      <c r="U122" s="25"/>
      <c r="V122" s="141"/>
      <c r="W122" s="141"/>
      <c r="X122" s="141"/>
      <c r="Y122" s="141"/>
    </row>
    <row r="123" spans="1:25" ht="16.5" customHeight="1">
      <c r="A123" s="11"/>
      <c r="B123" s="15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25"/>
      <c r="O123" s="25"/>
      <c r="P123" s="25"/>
      <c r="Q123" s="25"/>
      <c r="R123" s="25"/>
      <c r="S123" s="25"/>
      <c r="T123" s="25"/>
      <c r="U123" s="25"/>
      <c r="V123" s="141"/>
      <c r="W123" s="141"/>
      <c r="X123" s="141"/>
      <c r="Y123" s="141"/>
    </row>
    <row r="124" spans="1:25" ht="16.5" customHeight="1">
      <c r="A124" s="11"/>
      <c r="B124" s="16" t="s">
        <v>246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25"/>
      <c r="O124" s="25"/>
      <c r="P124" s="25"/>
      <c r="Q124" s="25"/>
      <c r="R124" s="25"/>
      <c r="S124" s="25"/>
      <c r="T124" s="25"/>
      <c r="U124" s="25"/>
      <c r="V124" s="141"/>
      <c r="W124" s="141"/>
      <c r="X124" s="141"/>
      <c r="Y124" s="141"/>
    </row>
    <row r="125" spans="1:21" ht="16.5" customHeight="1">
      <c r="A125" s="11"/>
      <c r="B125" s="16" t="s">
        <v>224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25"/>
      <c r="O125" s="25"/>
      <c r="P125" s="25"/>
      <c r="Q125" s="25"/>
      <c r="R125" s="25"/>
      <c r="S125" s="25"/>
      <c r="T125" s="25"/>
      <c r="U125" s="25"/>
    </row>
    <row r="127" ht="12.75">
      <c r="B127" s="17"/>
    </row>
  </sheetData>
  <sheetProtection/>
  <mergeCells count="19">
    <mergeCell ref="B112:C112"/>
    <mergeCell ref="B55:C55"/>
    <mergeCell ref="B58:C58"/>
    <mergeCell ref="B67:C67"/>
    <mergeCell ref="B71:C71"/>
    <mergeCell ref="B76:C76"/>
    <mergeCell ref="B85:C85"/>
    <mergeCell ref="B21:C21"/>
    <mergeCell ref="B30:C30"/>
    <mergeCell ref="B46:C46"/>
    <mergeCell ref="B49:C49"/>
    <mergeCell ref="B52:C52"/>
    <mergeCell ref="B91:C91"/>
    <mergeCell ref="B12:C12"/>
    <mergeCell ref="B8:C8"/>
    <mergeCell ref="A1:Y1"/>
    <mergeCell ref="A2:Y3"/>
    <mergeCell ref="A4:Y4"/>
    <mergeCell ref="A5:Y5"/>
  </mergeCells>
  <printOptions/>
  <pageMargins left="0.11811023622047245" right="0.11811023622047245" top="0" bottom="0" header="0" footer="0"/>
  <pageSetup horizontalDpi="600" verticalDpi="600" orientation="landscape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Пользователь</cp:lastModifiedBy>
  <cp:lastPrinted>2018-10-26T04:32:24Z</cp:lastPrinted>
  <dcterms:created xsi:type="dcterms:W3CDTF">2007-04-10T02:31:52Z</dcterms:created>
  <dcterms:modified xsi:type="dcterms:W3CDTF">2018-11-19T09:47:40Z</dcterms:modified>
  <cp:category/>
  <cp:version/>
  <cp:contentType/>
  <cp:contentStatus/>
</cp:coreProperties>
</file>